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8" windowHeight="7656" activeTab="1"/>
  </bookViews>
  <sheets>
    <sheet name="Sheet0" sheetId="1" r:id="rId1"/>
    <sheet name="Корректированная сумма" sheetId="2" r:id="rId2"/>
  </sheets>
  <definedNames>
    <definedName name="_xlnm._FilterDatabase" localSheetId="0" hidden="1">Sheet0!$B$12:$Y$290</definedName>
    <definedName name="_xlnm._FilterDatabase" localSheetId="1" hidden="1">'Корректированная сумма'!$B$12:$Y$290</definedName>
    <definedName name="_xlnm.Print_Area" localSheetId="0">Sheet0!$A$1:$Y$293</definedName>
    <definedName name="_xlnm.Print_Area" localSheetId="1">'Корректированная сумма'!$A$1:$Y$293</definedName>
  </definedNames>
  <calcPr calcId="162913"/>
</workbook>
</file>

<file path=xl/calcChain.xml><?xml version="1.0" encoding="utf-8"?>
<calcChain xmlns="http://schemas.openxmlformats.org/spreadsheetml/2006/main">
  <c r="U289" i="2"/>
  <c r="V289" s="1"/>
  <c r="U288"/>
  <c r="V288" s="1"/>
  <c r="U287"/>
  <c r="V287" s="1"/>
  <c r="U286"/>
  <c r="V286" s="1"/>
  <c r="U285"/>
  <c r="V285" s="1"/>
  <c r="U284"/>
  <c r="V284" s="1"/>
  <c r="U283"/>
  <c r="V283" s="1"/>
  <c r="U282"/>
  <c r="V282" s="1"/>
  <c r="U281"/>
  <c r="V281" s="1"/>
  <c r="U280"/>
  <c r="V280" s="1"/>
  <c r="U279"/>
  <c r="V279" s="1"/>
  <c r="U278"/>
  <c r="V278" s="1"/>
  <c r="U277"/>
  <c r="V277" s="1"/>
  <c r="U276"/>
  <c r="V276" s="1"/>
  <c r="U275"/>
  <c r="V275" s="1"/>
  <c r="U274"/>
  <c r="V274" s="1"/>
  <c r="U273"/>
  <c r="V273" s="1"/>
  <c r="U272"/>
  <c r="V272" s="1"/>
  <c r="U271"/>
  <c r="V271" s="1"/>
  <c r="U270"/>
  <c r="V270" s="1"/>
  <c r="U269"/>
  <c r="V269" s="1"/>
  <c r="U268"/>
  <c r="V268" s="1"/>
  <c r="U267"/>
  <c r="V267" s="1"/>
  <c r="U266"/>
  <c r="V266" s="1"/>
  <c r="T265"/>
  <c r="U265" s="1"/>
  <c r="V265" s="1"/>
  <c r="U264"/>
  <c r="V264" s="1"/>
  <c r="U263"/>
  <c r="V263" s="1"/>
  <c r="T263"/>
  <c r="T262"/>
  <c r="U262" s="1"/>
  <c r="V262" s="1"/>
  <c r="T261"/>
  <c r="U261" s="1"/>
  <c r="V261" s="1"/>
  <c r="T260"/>
  <c r="U260" s="1"/>
  <c r="V260" s="1"/>
  <c r="T259"/>
  <c r="U259" s="1"/>
  <c r="V259" s="1"/>
  <c r="V258"/>
  <c r="T258"/>
  <c r="T257"/>
  <c r="U257" s="1"/>
  <c r="V257" s="1"/>
  <c r="V256"/>
  <c r="T256"/>
  <c r="V255"/>
  <c r="T255"/>
  <c r="T254"/>
  <c r="U254" s="1"/>
  <c r="V254" s="1"/>
  <c r="V253"/>
  <c r="T253"/>
  <c r="V252"/>
  <c r="T252"/>
  <c r="U251"/>
  <c r="V251" s="1"/>
  <c r="T251"/>
  <c r="V250"/>
  <c r="T250"/>
  <c r="T249"/>
  <c r="U249" s="1"/>
  <c r="V249" s="1"/>
  <c r="V248"/>
  <c r="T248"/>
  <c r="T247"/>
  <c r="U247" s="1"/>
  <c r="V247" s="1"/>
  <c r="T246"/>
  <c r="U246" s="1"/>
  <c r="V246" s="1"/>
  <c r="T245"/>
  <c r="U245" s="1"/>
  <c r="V245" s="1"/>
  <c r="U240"/>
  <c r="V240" s="1"/>
  <c r="U239"/>
  <c r="V239" s="1"/>
  <c r="U238"/>
  <c r="V238" s="1"/>
  <c r="U237"/>
  <c r="V237" s="1"/>
  <c r="U236"/>
  <c r="V236" s="1"/>
  <c r="U235"/>
  <c r="U234"/>
  <c r="U233"/>
  <c r="U232"/>
  <c r="U231"/>
  <c r="U230"/>
  <c r="U229"/>
  <c r="V229" s="1"/>
  <c r="U228"/>
  <c r="V228" s="1"/>
  <c r="U227"/>
  <c r="V227" s="1"/>
  <c r="U226"/>
  <c r="V226" s="1"/>
  <c r="U225"/>
  <c r="V225" s="1"/>
  <c r="U224"/>
  <c r="V224" s="1"/>
  <c r="U223"/>
  <c r="V223" s="1"/>
  <c r="U222"/>
  <c r="V222" s="1"/>
  <c r="U221"/>
  <c r="V221" s="1"/>
  <c r="U220"/>
  <c r="V220" s="1"/>
  <c r="U219"/>
  <c r="V219" s="1"/>
  <c r="U218"/>
  <c r="V218" s="1"/>
  <c r="U217"/>
  <c r="V217" s="1"/>
  <c r="U216"/>
  <c r="V216" s="1"/>
  <c r="U215"/>
  <c r="V215" s="1"/>
  <c r="U214"/>
  <c r="V214" s="1"/>
  <c r="U213"/>
  <c r="V213" s="1"/>
  <c r="U212"/>
  <c r="V212" s="1"/>
  <c r="U211"/>
  <c r="V211" s="1"/>
  <c r="U210"/>
  <c r="V210" s="1"/>
  <c r="U209"/>
  <c r="V209" s="1"/>
  <c r="U208"/>
  <c r="V208" s="1"/>
  <c r="U207"/>
  <c r="V207" s="1"/>
  <c r="U206"/>
  <c r="V206" s="1"/>
  <c r="U205"/>
  <c r="V205" s="1"/>
  <c r="U204"/>
  <c r="V204" s="1"/>
  <c r="U203"/>
  <c r="V203" s="1"/>
  <c r="U202"/>
  <c r="V202" s="1"/>
  <c r="U201"/>
  <c r="V201" s="1"/>
  <c r="U200"/>
  <c r="V200" s="1"/>
  <c r="U199"/>
  <c r="V199" s="1"/>
  <c r="U198"/>
  <c r="V198" s="1"/>
  <c r="U197"/>
  <c r="V197" s="1"/>
  <c r="U196"/>
  <c r="V196" s="1"/>
  <c r="U195"/>
  <c r="V195" s="1"/>
  <c r="U194"/>
  <c r="V194" s="1"/>
  <c r="U193"/>
  <c r="V193" s="1"/>
  <c r="U192"/>
  <c r="V192" s="1"/>
  <c r="U191"/>
  <c r="V191" s="1"/>
  <c r="U190"/>
  <c r="V190" s="1"/>
  <c r="U189"/>
  <c r="V189" s="1"/>
  <c r="U188"/>
  <c r="V188" s="1"/>
  <c r="U187"/>
  <c r="V187" s="1"/>
  <c r="U186"/>
  <c r="V186" s="1"/>
  <c r="U185"/>
  <c r="V185" s="1"/>
  <c r="U184"/>
  <c r="V184" s="1"/>
  <c r="U183"/>
  <c r="V183" s="1"/>
  <c r="U182"/>
  <c r="V182" s="1"/>
  <c r="U181"/>
  <c r="V181" s="1"/>
  <c r="U180"/>
  <c r="V180" s="1"/>
  <c r="U179"/>
  <c r="V179" s="1"/>
  <c r="U178"/>
  <c r="V178" s="1"/>
  <c r="V177"/>
  <c r="U176"/>
  <c r="V176" s="1"/>
  <c r="U175"/>
  <c r="V175" s="1"/>
  <c r="U174"/>
  <c r="V174" s="1"/>
  <c r="U173"/>
  <c r="V173" s="1"/>
  <c r="U172"/>
  <c r="V172" s="1"/>
  <c r="U171"/>
  <c r="V171" s="1"/>
  <c r="U170"/>
  <c r="V170" s="1"/>
  <c r="U169"/>
  <c r="V169" s="1"/>
  <c r="U168"/>
  <c r="V168" s="1"/>
  <c r="U167"/>
  <c r="V167" s="1"/>
  <c r="U166"/>
  <c r="V166" s="1"/>
  <c r="U165"/>
  <c r="V165" s="1"/>
  <c r="U164"/>
  <c r="V164" s="1"/>
  <c r="U163"/>
  <c r="V163" s="1"/>
  <c r="U162"/>
  <c r="V162" s="1"/>
  <c r="U161"/>
  <c r="V161" s="1"/>
  <c r="U160"/>
  <c r="V160" s="1"/>
  <c r="U159"/>
  <c r="V159" s="1"/>
  <c r="U158"/>
  <c r="V158" s="1"/>
  <c r="U157"/>
  <c r="V157" s="1"/>
  <c r="U156"/>
  <c r="V156" s="1"/>
  <c r="U155"/>
  <c r="V155" s="1"/>
  <c r="U154"/>
  <c r="V154" s="1"/>
  <c r="U153"/>
  <c r="V153" s="1"/>
  <c r="U152"/>
  <c r="V152" s="1"/>
  <c r="U151"/>
  <c r="V151" s="1"/>
  <c r="U150"/>
  <c r="V150" s="1"/>
  <c r="U149"/>
  <c r="V149" s="1"/>
  <c r="U148"/>
  <c r="V148" s="1"/>
  <c r="U147"/>
  <c r="V147" s="1"/>
  <c r="U146"/>
  <c r="V146" s="1"/>
  <c r="U145"/>
  <c r="V145" s="1"/>
  <c r="U144"/>
  <c r="V144" s="1"/>
  <c r="U143"/>
  <c r="V143" s="1"/>
  <c r="U142"/>
  <c r="V142" s="1"/>
  <c r="U141"/>
  <c r="V141" s="1"/>
  <c r="U140"/>
  <c r="V140" s="1"/>
  <c r="U139"/>
  <c r="V139" s="1"/>
  <c r="U138"/>
  <c r="V138" s="1"/>
  <c r="U137"/>
  <c r="V137" s="1"/>
  <c r="U136"/>
  <c r="V136" s="1"/>
  <c r="U135"/>
  <c r="V135" s="1"/>
  <c r="U134"/>
  <c r="V134" s="1"/>
  <c r="U133"/>
  <c r="V133" s="1"/>
  <c r="U132"/>
  <c r="V132" s="1"/>
  <c r="U131"/>
  <c r="V131" s="1"/>
  <c r="U130"/>
  <c r="V130" s="1"/>
  <c r="U129"/>
  <c r="V129" s="1"/>
  <c r="U128"/>
  <c r="V128" s="1"/>
  <c r="U127"/>
  <c r="V127" s="1"/>
  <c r="U126"/>
  <c r="V126" s="1"/>
  <c r="U125"/>
  <c r="V125" s="1"/>
  <c r="U124"/>
  <c r="V124" s="1"/>
  <c r="U123"/>
  <c r="V123" s="1"/>
  <c r="U122"/>
  <c r="V122" s="1"/>
  <c r="U121"/>
  <c r="V121" s="1"/>
  <c r="U120"/>
  <c r="V120" s="1"/>
  <c r="U119"/>
  <c r="V119" s="1"/>
  <c r="U118"/>
  <c r="V118" s="1"/>
  <c r="U117"/>
  <c r="V117" s="1"/>
  <c r="U116"/>
  <c r="V116" s="1"/>
  <c r="V115"/>
  <c r="U114"/>
  <c r="V114" s="1"/>
  <c r="U113"/>
  <c r="V113" s="1"/>
  <c r="U112"/>
  <c r="V112" s="1"/>
  <c r="U111"/>
  <c r="V111" s="1"/>
  <c r="V110"/>
  <c r="U109"/>
  <c r="V109" s="1"/>
  <c r="V108"/>
  <c r="U107"/>
  <c r="V107" s="1"/>
  <c r="V106"/>
  <c r="U105"/>
  <c r="V105" s="1"/>
  <c r="V104"/>
  <c r="U103"/>
  <c r="V103" s="1"/>
  <c r="V102"/>
  <c r="U101"/>
  <c r="V101" s="1"/>
  <c r="V100"/>
  <c r="V99"/>
  <c r="V98"/>
  <c r="V97"/>
  <c r="V96"/>
  <c r="V95"/>
  <c r="U94"/>
  <c r="V94" s="1"/>
  <c r="V93"/>
  <c r="U92"/>
  <c r="V92" s="1"/>
  <c r="V91"/>
  <c r="U90"/>
  <c r="V90" s="1"/>
  <c r="V89"/>
  <c r="U88"/>
  <c r="V88" s="1"/>
  <c r="V87"/>
  <c r="U86"/>
  <c r="V86" s="1"/>
  <c r="U85"/>
  <c r="V85" s="1"/>
  <c r="V84"/>
  <c r="U83"/>
  <c r="V83" s="1"/>
  <c r="V82"/>
  <c r="V81"/>
  <c r="U80"/>
  <c r="V80" s="1"/>
  <c r="U79"/>
  <c r="V79" s="1"/>
  <c r="V78"/>
  <c r="V77"/>
  <c r="U76"/>
  <c r="V76" s="1"/>
  <c r="V75"/>
  <c r="U74"/>
  <c r="V74" s="1"/>
  <c r="V73"/>
  <c r="V72"/>
  <c r="U71"/>
  <c r="V71" s="1"/>
  <c r="V70"/>
  <c r="U69"/>
  <c r="V69" s="1"/>
  <c r="V68"/>
  <c r="U67"/>
  <c r="V67" s="1"/>
  <c r="U66"/>
  <c r="V66" s="1"/>
  <c r="U65"/>
  <c r="V65" s="1"/>
  <c r="V64"/>
  <c r="U63"/>
  <c r="V63" s="1"/>
  <c r="V62"/>
  <c r="U61"/>
  <c r="V61" s="1"/>
  <c r="V60"/>
  <c r="V59"/>
  <c r="V58"/>
  <c r="V57"/>
  <c r="U56"/>
  <c r="V56" s="1"/>
  <c r="V55"/>
  <c r="V54"/>
  <c r="U53"/>
  <c r="V53" s="1"/>
  <c r="V52"/>
  <c r="U51"/>
  <c r="V51" s="1"/>
  <c r="V50"/>
  <c r="U49"/>
  <c r="V49" s="1"/>
  <c r="V48"/>
  <c r="V47"/>
  <c r="U46"/>
  <c r="V46" s="1"/>
  <c r="V45"/>
  <c r="U44"/>
  <c r="V44" s="1"/>
  <c r="V43"/>
  <c r="U42"/>
  <c r="V42" s="1"/>
  <c r="V41"/>
  <c r="V40"/>
  <c r="U39"/>
  <c r="V39" s="1"/>
  <c r="V38"/>
  <c r="U37"/>
  <c r="V37" s="1"/>
  <c r="U36"/>
  <c r="V36" s="1"/>
  <c r="V35"/>
  <c r="U34"/>
  <c r="V34" s="1"/>
  <c r="U33"/>
  <c r="V33" s="1"/>
  <c r="U32"/>
  <c r="V32" s="1"/>
  <c r="V31"/>
  <c r="U30"/>
  <c r="V30" s="1"/>
  <c r="U29"/>
  <c r="V29" s="1"/>
  <c r="V28"/>
  <c r="U27"/>
  <c r="V27" s="1"/>
  <c r="U26"/>
  <c r="V26" s="1"/>
  <c r="U25"/>
  <c r="V25" s="1"/>
  <c r="U24"/>
  <c r="V24" s="1"/>
  <c r="V23"/>
  <c r="V22"/>
  <c r="V21"/>
  <c r="V20"/>
  <c r="V19"/>
  <c r="U18"/>
  <c r="V18" s="1"/>
  <c r="U17"/>
  <c r="V17" s="1"/>
  <c r="V16"/>
  <c r="U15"/>
  <c r="V15" s="1"/>
  <c r="V14"/>
  <c r="V241" l="1"/>
  <c r="U241"/>
  <c r="U290"/>
  <c r="V290"/>
  <c r="T286" i="1"/>
  <c r="T284"/>
  <c r="T285"/>
  <c r="U285" s="1"/>
  <c r="V285" s="1"/>
  <c r="U292" i="2" l="1"/>
  <c r="V292"/>
  <c r="T265" i="1"/>
  <c r="T266"/>
  <c r="U266" s="1"/>
  <c r="V266" s="1"/>
  <c r="T263"/>
  <c r="T264"/>
  <c r="U264" l="1"/>
  <c r="V264" s="1"/>
  <c r="T110" l="1"/>
  <c r="T111"/>
  <c r="U111" s="1"/>
  <c r="V111" s="1"/>
  <c r="T108"/>
  <c r="T109"/>
  <c r="U109" s="1"/>
  <c r="V109" s="1"/>
  <c r="T106"/>
  <c r="T107"/>
  <c r="U107" s="1"/>
  <c r="V107" s="1"/>
  <c r="T104"/>
  <c r="T105"/>
  <c r="U105" s="1"/>
  <c r="V105" s="1"/>
  <c r="T103"/>
  <c r="U103" s="1"/>
  <c r="V103" s="1"/>
  <c r="T100"/>
  <c r="T101"/>
  <c r="U101" s="1"/>
  <c r="V101" s="1"/>
  <c r="T94"/>
  <c r="U94" s="1"/>
  <c r="V94" s="1"/>
  <c r="T91"/>
  <c r="T92"/>
  <c r="U92" s="1"/>
  <c r="V92" s="1"/>
  <c r="T89"/>
  <c r="T90"/>
  <c r="U90" s="1"/>
  <c r="V90" s="1"/>
  <c r="T87"/>
  <c r="T88"/>
  <c r="U88" s="1"/>
  <c r="V88" s="1"/>
  <c r="T86"/>
  <c r="U86" s="1"/>
  <c r="V86" s="1"/>
  <c r="T84"/>
  <c r="T85"/>
  <c r="U85" s="1"/>
  <c r="V85" s="1"/>
  <c r="T83"/>
  <c r="U83" s="1"/>
  <c r="V83" s="1"/>
  <c r="T80"/>
  <c r="U80" s="1"/>
  <c r="V80" s="1"/>
  <c r="T79"/>
  <c r="U79" s="1"/>
  <c r="V79" s="1"/>
  <c r="T75"/>
  <c r="T76"/>
  <c r="U76" s="1"/>
  <c r="V76" s="1"/>
  <c r="T73"/>
  <c r="T74"/>
  <c r="U74" s="1"/>
  <c r="V74" s="1"/>
  <c r="T71"/>
  <c r="U71" s="1"/>
  <c r="V71" s="1"/>
  <c r="T68"/>
  <c r="T69"/>
  <c r="U69" s="1"/>
  <c r="V69" s="1"/>
  <c r="T67"/>
  <c r="U67" s="1"/>
  <c r="V67" s="1"/>
  <c r="T66"/>
  <c r="U66" s="1"/>
  <c r="V66" s="1"/>
  <c r="T65"/>
  <c r="U65" s="1"/>
  <c r="V65" s="1"/>
  <c r="T62"/>
  <c r="T63"/>
  <c r="U63" s="1"/>
  <c r="V63" s="1"/>
  <c r="T43"/>
  <c r="T45"/>
  <c r="T48"/>
  <c r="T52"/>
  <c r="T55"/>
  <c r="T60"/>
  <c r="T61"/>
  <c r="U61" s="1"/>
  <c r="V61" s="1"/>
  <c r="T56"/>
  <c r="U56" s="1"/>
  <c r="V56" s="1"/>
  <c r="T53"/>
  <c r="U53" s="1"/>
  <c r="V53" s="1"/>
  <c r="T51"/>
  <c r="U51" s="1"/>
  <c r="V51" s="1"/>
  <c r="T49"/>
  <c r="U49" s="1"/>
  <c r="V49" s="1"/>
  <c r="T46"/>
  <c r="U46" s="1"/>
  <c r="V46" s="1"/>
  <c r="T44"/>
  <c r="U44" s="1"/>
  <c r="V44" s="1"/>
  <c r="T42"/>
  <c r="U42" s="1"/>
  <c r="V42" s="1"/>
  <c r="T39"/>
  <c r="U39" s="1"/>
  <c r="V39" s="1"/>
  <c r="T38"/>
  <c r="V38" s="1"/>
  <c r="T37"/>
  <c r="U37" s="1"/>
  <c r="V37" l="1"/>
  <c r="T35"/>
  <c r="T36"/>
  <c r="U36" s="1"/>
  <c r="V36" s="1"/>
  <c r="T34"/>
  <c r="U34" s="1"/>
  <c r="V34" s="1"/>
  <c r="T33"/>
  <c r="U33" s="1"/>
  <c r="V33" s="1"/>
  <c r="T31"/>
  <c r="T32"/>
  <c r="U32" s="1"/>
  <c r="V32" s="1"/>
  <c r="T256"/>
  <c r="T255"/>
  <c r="V254"/>
  <c r="T254"/>
  <c r="V256"/>
  <c r="V255"/>
  <c r="T251"/>
  <c r="U251" s="1"/>
  <c r="V251" s="1"/>
  <c r="T252"/>
  <c r="V252"/>
  <c r="T253"/>
  <c r="V253"/>
  <c r="T250"/>
  <c r="V250"/>
  <c r="T115"/>
  <c r="V115"/>
  <c r="T114"/>
  <c r="U114" s="1"/>
  <c r="V114" s="1"/>
  <c r="T116"/>
  <c r="U116" s="1"/>
  <c r="V116" s="1"/>
  <c r="T113"/>
  <c r="U113" s="1"/>
  <c r="V113" s="1"/>
  <c r="T112"/>
  <c r="U112" l="1"/>
  <c r="V112" s="1"/>
  <c r="T260"/>
  <c r="T248"/>
  <c r="V248"/>
  <c r="T249"/>
  <c r="U249" s="1"/>
  <c r="V249" s="1"/>
  <c r="T259"/>
  <c r="U259" s="1"/>
  <c r="V259" s="1"/>
  <c r="T258"/>
  <c r="V258"/>
  <c r="T246"/>
  <c r="U246" s="1"/>
  <c r="V246" s="1"/>
  <c r="T257"/>
  <c r="U257" s="1"/>
  <c r="V257" s="1"/>
  <c r="T245"/>
  <c r="U245" s="1"/>
  <c r="T247"/>
  <c r="U247" s="1"/>
  <c r="V247" s="1"/>
  <c r="T30"/>
  <c r="U30" s="1"/>
  <c r="V30" s="1"/>
  <c r="T28"/>
  <c r="T29"/>
  <c r="U29" s="1"/>
  <c r="V29" s="1"/>
  <c r="T27"/>
  <c r="U27" s="1"/>
  <c r="V27" s="1"/>
  <c r="T26"/>
  <c r="U26" s="1"/>
  <c r="V26" s="1"/>
  <c r="T25"/>
  <c r="U25" s="1"/>
  <c r="V25" s="1"/>
  <c r="T24"/>
  <c r="U24" s="1"/>
  <c r="V24" s="1"/>
  <c r="V14"/>
  <c r="V16"/>
  <c r="T18"/>
  <c r="U18" s="1"/>
  <c r="V18" s="1"/>
  <c r="T17"/>
  <c r="U17" s="1"/>
  <c r="V17" s="1"/>
  <c r="T16"/>
  <c r="U260" l="1"/>
  <c r="V260" s="1"/>
  <c r="V245"/>
  <c r="T15"/>
  <c r="U15" s="1"/>
  <c r="T14"/>
  <c r="T289"/>
  <c r="U289" s="1"/>
  <c r="V289" s="1"/>
  <c r="T288"/>
  <c r="U288" s="1"/>
  <c r="V288" s="1"/>
  <c r="T287"/>
  <c r="U287" s="1"/>
  <c r="V287" s="1"/>
  <c r="U286"/>
  <c r="V286" s="1"/>
  <c r="U284"/>
  <c r="V284" s="1"/>
  <c r="T283"/>
  <c r="U283" s="1"/>
  <c r="V283" s="1"/>
  <c r="T282"/>
  <c r="U282" s="1"/>
  <c r="V282" s="1"/>
  <c r="T281"/>
  <c r="U281" s="1"/>
  <c r="V281" s="1"/>
  <c r="T280"/>
  <c r="U280" s="1"/>
  <c r="V280" s="1"/>
  <c r="T279"/>
  <c r="U279" s="1"/>
  <c r="V279" s="1"/>
  <c r="T278"/>
  <c r="U278" s="1"/>
  <c r="V278" s="1"/>
  <c r="T277"/>
  <c r="U277" s="1"/>
  <c r="V277" s="1"/>
  <c r="T276"/>
  <c r="U276" s="1"/>
  <c r="V276" s="1"/>
  <c r="T275"/>
  <c r="U275" s="1"/>
  <c r="V275" s="1"/>
  <c r="T274"/>
  <c r="U274" s="1"/>
  <c r="V274" s="1"/>
  <c r="T273"/>
  <c r="U273" s="1"/>
  <c r="V273" s="1"/>
  <c r="T272"/>
  <c r="U272" s="1"/>
  <c r="V272" s="1"/>
  <c r="T271"/>
  <c r="U271" s="1"/>
  <c r="V271" s="1"/>
  <c r="T270"/>
  <c r="U270" s="1"/>
  <c r="V270" s="1"/>
  <c r="T269"/>
  <c r="U269" s="1"/>
  <c r="V269" s="1"/>
  <c r="T268"/>
  <c r="U268" s="1"/>
  <c r="V268" s="1"/>
  <c r="T267"/>
  <c r="U267" s="1"/>
  <c r="V267" s="1"/>
  <c r="U265"/>
  <c r="V265" s="1"/>
  <c r="U263"/>
  <c r="V263" s="1"/>
  <c r="T262"/>
  <c r="U262" s="1"/>
  <c r="V262" s="1"/>
  <c r="T261"/>
  <c r="U261" s="1"/>
  <c r="V261" s="1"/>
  <c r="T240"/>
  <c r="U240" s="1"/>
  <c r="V240" s="1"/>
  <c r="T239"/>
  <c r="U239" s="1"/>
  <c r="V239" s="1"/>
  <c r="T238"/>
  <c r="U238" s="1"/>
  <c r="V238" s="1"/>
  <c r="T237"/>
  <c r="U237" s="1"/>
  <c r="V237" s="1"/>
  <c r="T236"/>
  <c r="U236" s="1"/>
  <c r="V236" s="1"/>
  <c r="T235"/>
  <c r="U235" s="1"/>
  <c r="T234"/>
  <c r="U234" s="1"/>
  <c r="T233"/>
  <c r="U233" s="1"/>
  <c r="T232"/>
  <c r="U232" s="1"/>
  <c r="T231"/>
  <c r="U231" s="1"/>
  <c r="T230"/>
  <c r="U230" s="1"/>
  <c r="T229"/>
  <c r="U229" s="1"/>
  <c r="V229" s="1"/>
  <c r="T228"/>
  <c r="U228" s="1"/>
  <c r="V228" s="1"/>
  <c r="T227"/>
  <c r="U227" s="1"/>
  <c r="V227" s="1"/>
  <c r="T226"/>
  <c r="U226" s="1"/>
  <c r="V226" s="1"/>
  <c r="T225"/>
  <c r="U225" s="1"/>
  <c r="V225" s="1"/>
  <c r="T224"/>
  <c r="U224" s="1"/>
  <c r="V224" s="1"/>
  <c r="T223"/>
  <c r="U223" s="1"/>
  <c r="V223" s="1"/>
  <c r="T222"/>
  <c r="U222" s="1"/>
  <c r="V222" s="1"/>
  <c r="T221"/>
  <c r="U221" s="1"/>
  <c r="V221" s="1"/>
  <c r="T220"/>
  <c r="U220" s="1"/>
  <c r="V220" s="1"/>
  <c r="T219"/>
  <c r="U219" s="1"/>
  <c r="V219" s="1"/>
  <c r="T218"/>
  <c r="U218" s="1"/>
  <c r="V218" s="1"/>
  <c r="T217"/>
  <c r="U217" s="1"/>
  <c r="V217" s="1"/>
  <c r="T216"/>
  <c r="U216" s="1"/>
  <c r="V216" s="1"/>
  <c r="T215"/>
  <c r="U215" s="1"/>
  <c r="V215" s="1"/>
  <c r="T214"/>
  <c r="U214" s="1"/>
  <c r="V214" s="1"/>
  <c r="T213"/>
  <c r="U213" s="1"/>
  <c r="V213" s="1"/>
  <c r="T212"/>
  <c r="U212" s="1"/>
  <c r="V212" s="1"/>
  <c r="T211"/>
  <c r="U211" s="1"/>
  <c r="V211" s="1"/>
  <c r="T210"/>
  <c r="U210" s="1"/>
  <c r="V210" s="1"/>
  <c r="T209"/>
  <c r="U209" s="1"/>
  <c r="V209" s="1"/>
  <c r="T208"/>
  <c r="U208" s="1"/>
  <c r="V208" s="1"/>
  <c r="T207"/>
  <c r="U207" s="1"/>
  <c r="V207" s="1"/>
  <c r="T206"/>
  <c r="U206" s="1"/>
  <c r="V206" s="1"/>
  <c r="T205"/>
  <c r="U205" s="1"/>
  <c r="V205" s="1"/>
  <c r="T204"/>
  <c r="U204" s="1"/>
  <c r="V204" s="1"/>
  <c r="T203"/>
  <c r="U203" s="1"/>
  <c r="V203" s="1"/>
  <c r="T202"/>
  <c r="U202" s="1"/>
  <c r="V202" s="1"/>
  <c r="T201"/>
  <c r="U201" s="1"/>
  <c r="V201" s="1"/>
  <c r="T200"/>
  <c r="U200" s="1"/>
  <c r="V200" s="1"/>
  <c r="T199"/>
  <c r="U199" s="1"/>
  <c r="V199" s="1"/>
  <c r="T198"/>
  <c r="U198" s="1"/>
  <c r="V198" s="1"/>
  <c r="T197"/>
  <c r="U197" s="1"/>
  <c r="V197" s="1"/>
  <c r="T196"/>
  <c r="U196" s="1"/>
  <c r="V196" s="1"/>
  <c r="T195"/>
  <c r="U195" s="1"/>
  <c r="V195" s="1"/>
  <c r="T194"/>
  <c r="U194" s="1"/>
  <c r="V194" s="1"/>
  <c r="T193"/>
  <c r="U193" s="1"/>
  <c r="V193" s="1"/>
  <c r="T192"/>
  <c r="U192" s="1"/>
  <c r="V192" s="1"/>
  <c r="T191"/>
  <c r="U191" s="1"/>
  <c r="V191" s="1"/>
  <c r="T190"/>
  <c r="U190" s="1"/>
  <c r="V190" s="1"/>
  <c r="T189"/>
  <c r="U189" s="1"/>
  <c r="V189" s="1"/>
  <c r="T188"/>
  <c r="U188" s="1"/>
  <c r="V188" s="1"/>
  <c r="T187"/>
  <c r="U187" s="1"/>
  <c r="V187" s="1"/>
  <c r="T186"/>
  <c r="U186" s="1"/>
  <c r="V186" s="1"/>
  <c r="T185"/>
  <c r="U185" s="1"/>
  <c r="V185" s="1"/>
  <c r="T184"/>
  <c r="U184" s="1"/>
  <c r="V184" s="1"/>
  <c r="T183"/>
  <c r="U183" s="1"/>
  <c r="V183" s="1"/>
  <c r="T182"/>
  <c r="U182" s="1"/>
  <c r="V182" s="1"/>
  <c r="T181"/>
  <c r="U181" s="1"/>
  <c r="V181" s="1"/>
  <c r="T180"/>
  <c r="U180" s="1"/>
  <c r="V180" s="1"/>
  <c r="T179"/>
  <c r="U179" s="1"/>
  <c r="V179" s="1"/>
  <c r="T178"/>
  <c r="U178" s="1"/>
  <c r="V178" s="1"/>
  <c r="V177"/>
  <c r="T177"/>
  <c r="T176"/>
  <c r="U176" s="1"/>
  <c r="V176" s="1"/>
  <c r="T175"/>
  <c r="U175" s="1"/>
  <c r="V175" s="1"/>
  <c r="T174"/>
  <c r="U174" s="1"/>
  <c r="V174" s="1"/>
  <c r="T173"/>
  <c r="U173" s="1"/>
  <c r="V173" s="1"/>
  <c r="T172"/>
  <c r="U172" s="1"/>
  <c r="V172" s="1"/>
  <c r="T171"/>
  <c r="U171" s="1"/>
  <c r="V171" s="1"/>
  <c r="T170"/>
  <c r="U170" s="1"/>
  <c r="V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V163" s="1"/>
  <c r="T162"/>
  <c r="U162" s="1"/>
  <c r="V162" s="1"/>
  <c r="T161"/>
  <c r="U161" s="1"/>
  <c r="V161" s="1"/>
  <c r="T160"/>
  <c r="U160" s="1"/>
  <c r="V160" s="1"/>
  <c r="T159"/>
  <c r="U159" s="1"/>
  <c r="V159" s="1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V153" s="1"/>
  <c r="T152"/>
  <c r="U152" s="1"/>
  <c r="V152" s="1"/>
  <c r="T151"/>
  <c r="U151" s="1"/>
  <c r="V151" s="1"/>
  <c r="T150"/>
  <c r="U150" s="1"/>
  <c r="V150" s="1"/>
  <c r="T149"/>
  <c r="U149" s="1"/>
  <c r="V149" s="1"/>
  <c r="T148"/>
  <c r="U148" s="1"/>
  <c r="V148" s="1"/>
  <c r="T147"/>
  <c r="U147" s="1"/>
  <c r="V147" s="1"/>
  <c r="T146"/>
  <c r="U146" s="1"/>
  <c r="V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V137" s="1"/>
  <c r="T136"/>
  <c r="U136" s="1"/>
  <c r="V136" s="1"/>
  <c r="T135"/>
  <c r="U135" s="1"/>
  <c r="V135" s="1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U123" s="1"/>
  <c r="V123" s="1"/>
  <c r="T122"/>
  <c r="U122" s="1"/>
  <c r="V122" s="1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V110"/>
  <c r="V108"/>
  <c r="V106"/>
  <c r="V104"/>
  <c r="V102"/>
  <c r="V100"/>
  <c r="V99"/>
  <c r="V98"/>
  <c r="V97"/>
  <c r="V96"/>
  <c r="V95"/>
  <c r="V93"/>
  <c r="V91"/>
  <c r="V89"/>
  <c r="V87"/>
  <c r="V84"/>
  <c r="V82"/>
  <c r="V81"/>
  <c r="V78"/>
  <c r="V77"/>
  <c r="V75"/>
  <c r="V73"/>
  <c r="V72"/>
  <c r="V70"/>
  <c r="V68"/>
  <c r="V64"/>
  <c r="V62"/>
  <c r="V60"/>
  <c r="V59"/>
  <c r="V58"/>
  <c r="V57"/>
  <c r="V55"/>
  <c r="V54"/>
  <c r="V52"/>
  <c r="V50"/>
  <c r="V48"/>
  <c r="V47"/>
  <c r="V45"/>
  <c r="V43"/>
  <c r="V41"/>
  <c r="V40"/>
  <c r="V35"/>
  <c r="V31"/>
  <c r="V28"/>
  <c r="V23"/>
  <c r="V22"/>
  <c r="V21"/>
  <c r="V20"/>
  <c r="V19"/>
  <c r="V290" l="1"/>
  <c r="U290"/>
  <c r="V15"/>
  <c r="V241" s="1"/>
  <c r="U241"/>
  <c r="U292" s="1"/>
  <c r="V292" l="1"/>
</calcChain>
</file>

<file path=xl/sharedStrings.xml><?xml version="1.0" encoding="utf-8"?>
<sst xmlns="http://schemas.openxmlformats.org/spreadsheetml/2006/main" count="7245" uniqueCount="851">
  <si>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</si>
  <si>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</si>
  <si>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</si>
  <si>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</si>
  <si>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</si>
  <si>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</si>
  <si>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</si>
  <si>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</si>
  <si>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</si>
  <si>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</si>
  <si>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</si>
  <si>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</si>
  <si>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</si>
  <si>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</si>
  <si>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</si>
  <si>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</si>
  <si>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</si>
  <si>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</si>
  <si>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</si>
  <si>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</si>
  <si>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</si>
  <si>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</si>
  <si>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</si>
  <si>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</si>
  <si>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/>
  </si>
  <si>
    <t>2 Т</t>
  </si>
  <si>
    <t>3 Т</t>
  </si>
  <si>
    <t>2.Работы</t>
  </si>
  <si>
    <t>3.Услуги</t>
  </si>
  <si>
    <t>1 У</t>
  </si>
  <si>
    <t>2 У</t>
  </si>
  <si>
    <t>3 У</t>
  </si>
  <si>
    <t>Всего:</t>
  </si>
  <si>
    <t>Прогноз местного содержания, %</t>
  </si>
  <si>
    <t>Срок осуществления закупок (месяц проведения)</t>
  </si>
  <si>
    <t>Код  ЕНС ТРУ</t>
  </si>
  <si>
    <t>КФ "Компания по строительству объектов"</t>
  </si>
  <si>
    <t>172314.500.000002</t>
  </si>
  <si>
    <t>Бумага</t>
  </si>
  <si>
    <t>для офисного оборудования, формат А4, 500 листов, плотность 80 г/м2</t>
  </si>
  <si>
    <t>ОИ</t>
  </si>
  <si>
    <t>г. Астана ул. Кунаева, 8, блок Б</t>
  </si>
  <si>
    <t>г.Астана, район Есиль</t>
  </si>
  <si>
    <t>DDP</t>
  </si>
  <si>
    <t>Пачка</t>
  </si>
  <si>
    <t>172314.500.000001</t>
  </si>
  <si>
    <t>для офисного оборудования, формат А3, 500 листов, плотность 80 г/м2</t>
  </si>
  <si>
    <t>172312.700.000000</t>
  </si>
  <si>
    <t>Бумага для заметок</t>
  </si>
  <si>
    <t>Бумага для заметок 76х76, 400 л.</t>
  </si>
  <si>
    <t>4 Т</t>
  </si>
  <si>
    <t>222929.900.000184</t>
  </si>
  <si>
    <t>Органайзер</t>
  </si>
  <si>
    <t>пластиковый, на вращающейся основе</t>
  </si>
  <si>
    <t>Штука</t>
  </si>
  <si>
    <t>5 Т</t>
  </si>
  <si>
    <t>172313.100.000002</t>
  </si>
  <si>
    <t xml:space="preserve">Журнал </t>
  </si>
  <si>
    <t>регистрации входящих документов</t>
  </si>
  <si>
    <t>6 Т</t>
  </si>
  <si>
    <t>учета исходящих документов</t>
  </si>
  <si>
    <t>7 Т</t>
  </si>
  <si>
    <t>регистрации приказов</t>
  </si>
  <si>
    <t>8 Т</t>
  </si>
  <si>
    <t>регистрации договоров</t>
  </si>
  <si>
    <t>9 Т</t>
  </si>
  <si>
    <t>регистрации трудовых договоров</t>
  </si>
  <si>
    <t>10 Т</t>
  </si>
  <si>
    <t>регистрации трудовых книжек</t>
  </si>
  <si>
    <t>11 Т</t>
  </si>
  <si>
    <t>172313.100.000003</t>
  </si>
  <si>
    <t>Книга</t>
  </si>
  <si>
    <t xml:space="preserve">Бухгалтерская книга регистрации выданных доверенностей </t>
  </si>
  <si>
    <t>12 Т</t>
  </si>
  <si>
    <t>259923.300.000000</t>
  </si>
  <si>
    <t xml:space="preserve">Зажим </t>
  </si>
  <si>
    <t>металлические, канцелярские, 15 мм</t>
  </si>
  <si>
    <t>Упаковка</t>
  </si>
  <si>
    <t>13 Т</t>
  </si>
  <si>
    <t>металлические, канцелярские, 51 мм</t>
  </si>
  <si>
    <t>14 Т</t>
  </si>
  <si>
    <t>282312.100.000000</t>
  </si>
  <si>
    <t>Калькулятор</t>
  </si>
  <si>
    <t>бухгалтерский, с дополнительными средствами для работы с денежными суммами (кнопки «00» и «000», фиксированное количество разрядов д робной части, автоматическое округление), настольные габариты</t>
  </si>
  <si>
    <t>Калькулятор - 16 раз. (брэнд нэйм), модель по согласованию с Заказчиком</t>
  </si>
  <si>
    <t>15 Т</t>
  </si>
  <si>
    <t>222925.500.000008</t>
  </si>
  <si>
    <t xml:space="preserve">Карандаш </t>
  </si>
  <si>
    <t xml:space="preserve">Карандаш механический с ластиком </t>
  </si>
  <si>
    <t>16 Т</t>
  </si>
  <si>
    <t>329915.300.000000</t>
  </si>
  <si>
    <t>Грифель для механического карандаша</t>
  </si>
  <si>
    <t>Черный</t>
  </si>
  <si>
    <t>17 Т</t>
  </si>
  <si>
    <t>221973.210.000000</t>
  </si>
  <si>
    <t>Ластик</t>
  </si>
  <si>
    <t>Твердый</t>
  </si>
  <si>
    <t>18 Т</t>
  </si>
  <si>
    <t>222925.500.000009</t>
  </si>
  <si>
    <t xml:space="preserve">Линейка </t>
  </si>
  <si>
    <t>Линейка пластивая 15-30 см</t>
  </si>
  <si>
    <t>19 Т</t>
  </si>
  <si>
    <t>222925.500.000012</t>
  </si>
  <si>
    <t>Маркер</t>
  </si>
  <si>
    <t xml:space="preserve">Текстовый, в наборе 4 цвета </t>
  </si>
  <si>
    <t>20 Т</t>
  </si>
  <si>
    <t>329912.130.000000</t>
  </si>
  <si>
    <t>Ручка</t>
  </si>
  <si>
    <t>Ручка шариковая-синий</t>
  </si>
  <si>
    <t>21 Т</t>
  </si>
  <si>
    <t>222925.700.000027</t>
  </si>
  <si>
    <t>Папка</t>
  </si>
  <si>
    <t>Папка с файлами 20 листов</t>
  </si>
  <si>
    <t>22 Т</t>
  </si>
  <si>
    <t>172313.500.000000</t>
  </si>
  <si>
    <t>Скоросшиватель</t>
  </si>
  <si>
    <t>картонный, формат А 4</t>
  </si>
  <si>
    <t>23 Т</t>
  </si>
  <si>
    <t>222929.900.000142</t>
  </si>
  <si>
    <t>Лоток</t>
  </si>
  <si>
    <t>Лоток горизонтальный</t>
  </si>
  <si>
    <t>24 Т</t>
  </si>
  <si>
    <t>Лоток вертикальный - 5 секционный</t>
  </si>
  <si>
    <t>25 Т</t>
  </si>
  <si>
    <t>222925.900.000003</t>
  </si>
  <si>
    <t>Файл - вкладыш</t>
  </si>
  <si>
    <t>Файл - вкладыш, А4, 50мкм, 1/100</t>
  </si>
  <si>
    <t>26 Т</t>
  </si>
  <si>
    <t>171213.300.000000</t>
  </si>
  <si>
    <t>бумага для флипчарта</t>
  </si>
  <si>
    <t>27 Т</t>
  </si>
  <si>
    <t>205210.900.000026</t>
  </si>
  <si>
    <t xml:space="preserve">Клей - карандаш </t>
  </si>
  <si>
    <t>Клей - карандаш, 15гр</t>
  </si>
  <si>
    <t>28 Т</t>
  </si>
  <si>
    <t>329959.900.000081</t>
  </si>
  <si>
    <t>Лента клейкая</t>
  </si>
  <si>
    <t>Лента клейкая, 48 х 66мм, прозрачная</t>
  </si>
  <si>
    <t>29 Т</t>
  </si>
  <si>
    <t>257111.390.000006</t>
  </si>
  <si>
    <t>Макетный нож</t>
  </si>
  <si>
    <t>Макетный нож, 18мм</t>
  </si>
  <si>
    <t>30 Т</t>
  </si>
  <si>
    <t>257111.910.000001</t>
  </si>
  <si>
    <t>Ножницы</t>
  </si>
  <si>
    <t>Ножницы 18см, нержавеющая сталь</t>
  </si>
  <si>
    <t>31 Т</t>
  </si>
  <si>
    <t>259923.500.000005</t>
  </si>
  <si>
    <t>Скрепка</t>
  </si>
  <si>
    <t>Скрепка канцелярская 25 мм</t>
  </si>
  <si>
    <t>32 Т</t>
  </si>
  <si>
    <t>172312.700.000011</t>
  </si>
  <si>
    <t>Стикер</t>
  </si>
  <si>
    <t>Стикер в наборе, 45х12, 5 цветов</t>
  </si>
  <si>
    <t>33 Т</t>
  </si>
  <si>
    <t>172312.300.000001</t>
  </si>
  <si>
    <t>Конверт</t>
  </si>
  <si>
    <t>162х229, цвет белый, б/окна, силикон, 80гр.</t>
  </si>
  <si>
    <t>34 Т</t>
  </si>
  <si>
    <t>230х330, цвет белый, б/окна, силикон</t>
  </si>
  <si>
    <t>35 Т</t>
  </si>
  <si>
    <t>282323.900.000008</t>
  </si>
  <si>
    <t>Антистеплер</t>
  </si>
  <si>
    <t>Антистеплер для удаление скоб</t>
  </si>
  <si>
    <t>36 Т</t>
  </si>
  <si>
    <t>282323.900.000002</t>
  </si>
  <si>
    <t>Степлер</t>
  </si>
  <si>
    <t>Степлер №10, 50 скоб, захват 50 мм</t>
  </si>
  <si>
    <t>37 Т</t>
  </si>
  <si>
    <t>Степлер№24/6, 150 скоб, захват 64 мм</t>
  </si>
  <si>
    <t>38 Т</t>
  </si>
  <si>
    <t>Степлер №23/23</t>
  </si>
  <si>
    <t>39 Т</t>
  </si>
  <si>
    <t>259923.500.000006</t>
  </si>
  <si>
    <t>Скобы</t>
  </si>
  <si>
    <t xml:space="preserve">Скобы для степлера №10, 5 мм, оцинкованные </t>
  </si>
  <si>
    <t>40 Т</t>
  </si>
  <si>
    <t>Скобы для степлера №24/6, 6 мм, оцинкованные</t>
  </si>
  <si>
    <t>41 Т</t>
  </si>
  <si>
    <t>Скобы для степлера №23/23</t>
  </si>
  <si>
    <t>42 Т</t>
  </si>
  <si>
    <t>282323.900.000005</t>
  </si>
  <si>
    <t>Дырокол</t>
  </si>
  <si>
    <t>Металический, 30 л, с линейкой</t>
  </si>
  <si>
    <t>43 Т</t>
  </si>
  <si>
    <t>222925.900.000014</t>
  </si>
  <si>
    <t>Корзина</t>
  </si>
  <si>
    <t>Корзина пластиковая для бумаг, 12 л, круглая, цельная, черная</t>
  </si>
  <si>
    <t>44 Т</t>
  </si>
  <si>
    <t>329959.900.000067</t>
  </si>
  <si>
    <t>Корректирующая лента</t>
  </si>
  <si>
    <t xml:space="preserve">Корректирующая лента в блистере с европодвесом </t>
  </si>
  <si>
    <t>45 Т</t>
  </si>
  <si>
    <t>329959.900.000127</t>
  </si>
  <si>
    <t>Разветвитель</t>
  </si>
  <si>
    <t>Разветвитель, 4 PORT USB 2,0</t>
  </si>
  <si>
    <t>46 Т</t>
  </si>
  <si>
    <t>329959.900.000068</t>
  </si>
  <si>
    <t>Сетевой фильтр</t>
  </si>
  <si>
    <t>Сетевой фильтр, 5 м, 5 розеток</t>
  </si>
  <si>
    <t>47 Т</t>
  </si>
  <si>
    <t>262021.900.000094</t>
  </si>
  <si>
    <t>Флеш-накопитель</t>
  </si>
  <si>
    <t>Объем 32 Гб, интерфейс 2.0</t>
  </si>
  <si>
    <t>48 Т</t>
  </si>
  <si>
    <t>263021.900.000010</t>
  </si>
  <si>
    <t xml:space="preserve">Телефон </t>
  </si>
  <si>
    <t>Телефон проводной</t>
  </si>
  <si>
    <t>Телефон проводной, с подсветкой, автодозвон, спикерфон, повторный набор, регултровка громкости звука</t>
  </si>
  <si>
    <t>49 Т</t>
  </si>
  <si>
    <t>263021.900.000011</t>
  </si>
  <si>
    <t>Телефон безпроводной</t>
  </si>
  <si>
    <t>Телефон безпроводной, тоновый, быстрый набор, повторный набор номера, внутренняя связь между трубками, телефонная книга на 20 номеров</t>
  </si>
  <si>
    <t>50 Т</t>
  </si>
  <si>
    <t>272023.900.000006</t>
  </si>
  <si>
    <t xml:space="preserve">Аккумулятор </t>
  </si>
  <si>
    <t>Пальчиковые АА, 2700 mAh 1,2 - HR6, 2 шт./уп</t>
  </si>
  <si>
    <t>51 Т</t>
  </si>
  <si>
    <t>204131.590.000001</t>
  </si>
  <si>
    <t>Влажные салфетки</t>
  </si>
  <si>
    <t>для ухода за оргтехникой</t>
  </si>
  <si>
    <t>52 Т</t>
  </si>
  <si>
    <t xml:space="preserve">Папка регистратор </t>
  </si>
  <si>
    <t>А4, корешок 70мм,  с арочным механизмом, бумвинил</t>
  </si>
  <si>
    <t>53 Т</t>
  </si>
  <si>
    <t>257113.350.000001</t>
  </si>
  <si>
    <t>Точилка</t>
  </si>
  <si>
    <t xml:space="preserve">металлическая, с 1-м отверстием </t>
  </si>
  <si>
    <t>54 Т</t>
  </si>
  <si>
    <t>329914.550.000003</t>
  </si>
  <si>
    <t xml:space="preserve">механическая </t>
  </si>
  <si>
    <t>109*60*104мм с 2-мя отверствиями "2 в 1" в прозрачном ПВХ-боксе</t>
  </si>
  <si>
    <t>55 Т</t>
  </si>
  <si>
    <t>172313.900.000003</t>
  </si>
  <si>
    <t xml:space="preserve">Набор пластиковых разделителей листов </t>
  </si>
  <si>
    <t>А4, цветовой, А-Я</t>
  </si>
  <si>
    <t>56 Т</t>
  </si>
  <si>
    <t>А4, цветовой, 12 листов</t>
  </si>
  <si>
    <t>57 Т</t>
  </si>
  <si>
    <t>Папка планшет</t>
  </si>
  <si>
    <t>А4, с верхним прижимом</t>
  </si>
  <si>
    <t>цвет по согласованию с заказчиком</t>
  </si>
  <si>
    <t>58 Т</t>
  </si>
  <si>
    <t>329916.500.000000</t>
  </si>
  <si>
    <t>Штемпельная подущка</t>
  </si>
  <si>
    <t>размер 90*50 мм, без краски</t>
  </si>
  <si>
    <t>59 Т</t>
  </si>
  <si>
    <t>329916.300.000002</t>
  </si>
  <si>
    <t>Краска</t>
  </si>
  <si>
    <t>для штемпельной подушки</t>
  </si>
  <si>
    <t>60 Т</t>
  </si>
  <si>
    <t>цветная бумага</t>
  </si>
  <si>
    <t>A4, 80г/м2 500 л, темно-синий</t>
  </si>
  <si>
    <t>61 Т</t>
  </si>
  <si>
    <t>222925.700.000036</t>
  </si>
  <si>
    <t>Обложка</t>
  </si>
  <si>
    <t>для термопереплета</t>
  </si>
  <si>
    <t>62 Т</t>
  </si>
  <si>
    <t>151212.900.000083</t>
  </si>
  <si>
    <t xml:space="preserve">картонные для переплета </t>
  </si>
  <si>
    <t>63 Т</t>
  </si>
  <si>
    <t>222925.700.000000</t>
  </si>
  <si>
    <t>Пружины для переплета</t>
  </si>
  <si>
    <t>пластиковые</t>
  </si>
  <si>
    <t>64 Т</t>
  </si>
  <si>
    <t>172313.500.000008</t>
  </si>
  <si>
    <t>подвесная, А4</t>
  </si>
  <si>
    <t>65 Т</t>
  </si>
  <si>
    <t>259314.700.000005</t>
  </si>
  <si>
    <t>Кнопки гвоздики</t>
  </si>
  <si>
    <t xml:space="preserve">Кнопки канцелярские </t>
  </si>
  <si>
    <t>66 Т</t>
  </si>
  <si>
    <t>259912.400.000000</t>
  </si>
  <si>
    <t>Вешелка</t>
  </si>
  <si>
    <t>Напольная, тип кактус</t>
  </si>
  <si>
    <t>67 Т</t>
  </si>
  <si>
    <t>329959.900.000036</t>
  </si>
  <si>
    <t>Настольный набор для руководителя</t>
  </si>
  <si>
    <t>68 Т</t>
  </si>
  <si>
    <t>274022.900.000003</t>
  </si>
  <si>
    <t>Светильник</t>
  </si>
  <si>
    <t>Настольный</t>
  </si>
  <si>
    <t>69 Т</t>
  </si>
  <si>
    <t>272011.900.000004</t>
  </si>
  <si>
    <t>Батарейка</t>
  </si>
  <si>
    <t>тип АА, для безпроводного телефона</t>
  </si>
  <si>
    <t>70 Т</t>
  </si>
  <si>
    <t>262015.000.000012</t>
  </si>
  <si>
    <t>Клавиатура</t>
  </si>
  <si>
    <t xml:space="preserve">безпроводной, цвет - черный </t>
  </si>
  <si>
    <t>71 Т</t>
  </si>
  <si>
    <t>262016.930.000004</t>
  </si>
  <si>
    <t>Мышь</t>
  </si>
  <si>
    <t xml:space="preserve">безпроводной </t>
  </si>
  <si>
    <t>72 Т</t>
  </si>
  <si>
    <t>262013.000.000011</t>
  </si>
  <si>
    <t>Компьютер</t>
  </si>
  <si>
    <t>Моноблок универсальный</t>
  </si>
  <si>
    <t>Бумага для офисного оборудовани</t>
  </si>
  <si>
    <t>формат А4, 500 листов, плотность 80 г/м2</t>
  </si>
  <si>
    <t>Апрель</t>
  </si>
  <si>
    <t>с даты заключения договора до 31 декабря 2018г.</t>
  </si>
  <si>
    <t>Аванс 0%</t>
  </si>
  <si>
    <t xml:space="preserve"> формат А3, 500 листов, плотность 80 г/м2</t>
  </si>
  <si>
    <t xml:space="preserve">Бумага </t>
  </si>
  <si>
    <t>бумага для заметок 76х76, 400 л.</t>
  </si>
  <si>
    <t xml:space="preserve">бухгалтерская книга регистрации выданных доверенностей </t>
  </si>
  <si>
    <t>для бумаг металлические, канцелярские, 15 мм, 12 шт в упаковке</t>
  </si>
  <si>
    <t>для бумаг металлические, канцелярские, 51 мм, 12 шт в упаковке</t>
  </si>
  <si>
    <t>12 разрядный</t>
  </si>
  <si>
    <t xml:space="preserve">карандаш с ластиком </t>
  </si>
  <si>
    <t>Грифель</t>
  </si>
  <si>
    <t xml:space="preserve"> для механического карандаша,черный</t>
  </si>
  <si>
    <t>мягкий</t>
  </si>
  <si>
    <t xml:space="preserve">текстовый, в наборе 4 цвета </t>
  </si>
  <si>
    <t>Набор</t>
  </si>
  <si>
    <t>Ручка канцелярская</t>
  </si>
  <si>
    <t xml:space="preserve"> шариковая-синий стержень</t>
  </si>
  <si>
    <t>шариковая-красный стержень</t>
  </si>
  <si>
    <t>папка с файлами А4, 20 вкладышей</t>
  </si>
  <si>
    <t>172313.500.000001</t>
  </si>
  <si>
    <t>горизонтальный для документов А4</t>
  </si>
  <si>
    <t>вертикальный - 5 секционный</t>
  </si>
  <si>
    <t>файл - вкладыш, А4</t>
  </si>
  <si>
    <t>73 Т</t>
  </si>
  <si>
    <t>74 Т</t>
  </si>
  <si>
    <t xml:space="preserve">Клей </t>
  </si>
  <si>
    <t>клей - карандаш, 21гр</t>
  </si>
  <si>
    <t>75 Т</t>
  </si>
  <si>
    <t>Скотч</t>
  </si>
  <si>
    <t>лента клейкая (скотч), 48 х 66мм, прозрачная</t>
  </si>
  <si>
    <t>76 Т</t>
  </si>
  <si>
    <t>Нож</t>
  </si>
  <si>
    <t>макетный нож, 18мм</t>
  </si>
  <si>
    <t>77 Т</t>
  </si>
  <si>
    <t>канцелярские, 18см, нержавеющая сталь</t>
  </si>
  <si>
    <t>78 Т</t>
  </si>
  <si>
    <t>скрепка канцелярская 25 мм</t>
  </si>
  <si>
    <t>79 Т</t>
  </si>
  <si>
    <t>Стикер (индекс)  в наборе, 45х12, 5 цветов</t>
  </si>
  <si>
    <t>80 Т</t>
  </si>
  <si>
    <t>162х229мм, цвет белый, б/окна</t>
  </si>
  <si>
    <t>81 Т</t>
  </si>
  <si>
    <t>230х330мм, цвет белый, б/окна</t>
  </si>
  <si>
    <t>82 Т</t>
  </si>
  <si>
    <t>антистеплер для удаление скоб</t>
  </si>
  <si>
    <t>83 Т</t>
  </si>
  <si>
    <t>степлер №10, 50 скоб, захват 50 мм</t>
  </si>
  <si>
    <t>84 Т</t>
  </si>
  <si>
    <t>степлер№24/6, 150 скоб, захват 64 мм</t>
  </si>
  <si>
    <t>85 Т</t>
  </si>
  <si>
    <t>Скоба</t>
  </si>
  <si>
    <t xml:space="preserve">скобы для степлера №10, 5 мм, оцинкованные </t>
  </si>
  <si>
    <t>86 Т</t>
  </si>
  <si>
    <t>скобы для степлера №24/6, 6 мм, оцинкованные</t>
  </si>
  <si>
    <t>87 Т</t>
  </si>
  <si>
    <t>скобы для степлера №23/23 оцинкованные</t>
  </si>
  <si>
    <t>88 Т</t>
  </si>
  <si>
    <t>металический, 30 л, с линейкой</t>
  </si>
  <si>
    <t>89 Т</t>
  </si>
  <si>
    <t>корзина пластиковая для бумаг, 12 л, круглая, цельная</t>
  </si>
  <si>
    <t>90 Т</t>
  </si>
  <si>
    <t>329959.900.000066</t>
  </si>
  <si>
    <t>Штрих лента</t>
  </si>
  <si>
    <t xml:space="preserve">корректирующая лента в блистере с европодвесом </t>
  </si>
  <si>
    <t>91 Т</t>
  </si>
  <si>
    <t>разветвитель, 4 PORT USB 2,0</t>
  </si>
  <si>
    <t xml:space="preserve">в течение 15 дней с даты заключения договора </t>
  </si>
  <si>
    <t>92 Т</t>
  </si>
  <si>
    <t>Фильтр</t>
  </si>
  <si>
    <t>сетевой фильтр, 5 м, 5 розеток</t>
  </si>
  <si>
    <t>93 Т</t>
  </si>
  <si>
    <t>объем 32 Гб, интерфейс 2.0</t>
  </si>
  <si>
    <t>94 Т</t>
  </si>
  <si>
    <t>325013.200.000008</t>
  </si>
  <si>
    <t xml:space="preserve">Лупа </t>
  </si>
  <si>
    <t>лупа канцелярская, диаметр стекла 75 мм.</t>
  </si>
  <si>
    <t>95 Т</t>
  </si>
  <si>
    <t>пальчиковая АА, 2700 mAh 1,2 - HR6, 2 шт./уп</t>
  </si>
  <si>
    <t>96 Т</t>
  </si>
  <si>
    <t>Салфетка</t>
  </si>
  <si>
    <t>влажная салфетка для ухода за оргтехникой, 100 шт. в упаковке</t>
  </si>
  <si>
    <t>97 Т</t>
  </si>
  <si>
    <t>264042.700.000004</t>
  </si>
  <si>
    <t>Наушники</t>
  </si>
  <si>
    <t>:внутриканальные (вакуумные), проводные</t>
  </si>
  <si>
    <t>Май</t>
  </si>
  <si>
    <t>98 Т</t>
  </si>
  <si>
    <t>папка регистратор, А4, корешок 70мм,  с арочным механизмом, бумвинил</t>
  </si>
  <si>
    <t>99 Т</t>
  </si>
  <si>
    <t xml:space="preserve">корпус пластик, лезвие с 1-м отверстием </t>
  </si>
  <si>
    <t>100 Т</t>
  </si>
  <si>
    <t>механическая, 109*60*104мм с 2-мя отверствиями "2 в 1" в прозрачном ПВХ-боксе</t>
  </si>
  <si>
    <t>101 Т</t>
  </si>
  <si>
    <t>Разделитель</t>
  </si>
  <si>
    <t>А4, цветовой, А-Я, в наборе</t>
  </si>
  <si>
    <t>102 Т</t>
  </si>
  <si>
    <t>А4, цветовой, 1-12, в наборе</t>
  </si>
  <si>
    <t>103 Т</t>
  </si>
  <si>
    <t xml:space="preserve">Папка </t>
  </si>
  <si>
    <t>папка планшет, А4, с верхним прижимом</t>
  </si>
  <si>
    <t>104 Т</t>
  </si>
  <si>
    <t>Подушка штемпельная</t>
  </si>
  <si>
    <t>для печати, штампов, размер 90*50 мм</t>
  </si>
  <si>
    <t>105 Т</t>
  </si>
  <si>
    <t>Краска штемпельная</t>
  </si>
  <si>
    <t>краска (мастика) для штемпельной подушки, синяя</t>
  </si>
  <si>
    <t>106 Т</t>
  </si>
  <si>
    <t>цветная бумага, A4, 80г/м2 500 л</t>
  </si>
  <si>
    <t>107 Т</t>
  </si>
  <si>
    <t>108 Т</t>
  </si>
  <si>
    <t>картонные для переплета, теснение под кожу А3</t>
  </si>
  <si>
    <t>109 Т</t>
  </si>
  <si>
    <t>Пружина</t>
  </si>
  <si>
    <t>для переплета, пластиковая</t>
  </si>
  <si>
    <t>110 Т</t>
  </si>
  <si>
    <t>111 Т</t>
  </si>
  <si>
    <t>Кнопка</t>
  </si>
  <si>
    <t>кнопки канцелярские силовые</t>
  </si>
  <si>
    <t>112 Т</t>
  </si>
  <si>
    <t>310913.900.000019</t>
  </si>
  <si>
    <t>Вешалка</t>
  </si>
  <si>
    <t>деревянная, напольная, тип кактус</t>
  </si>
  <si>
    <t>113 Т</t>
  </si>
  <si>
    <t>Набор настольный</t>
  </si>
  <si>
    <t>письменный, для руководителей</t>
  </si>
  <si>
    <t>114 Т</t>
  </si>
  <si>
    <t>настольный, опорный</t>
  </si>
  <si>
    <t>115 Т</t>
  </si>
  <si>
    <t>272011.900.000003</t>
  </si>
  <si>
    <t>тип ААА</t>
  </si>
  <si>
    <t>116 Т</t>
  </si>
  <si>
    <t xml:space="preserve">безпроводной, алфавитно-цифровая, цвет - черный </t>
  </si>
  <si>
    <t>117 Т</t>
  </si>
  <si>
    <t>Манипулятор-мышь</t>
  </si>
  <si>
    <t>лазерная, беспроводная</t>
  </si>
  <si>
    <t>118 Т</t>
  </si>
  <si>
    <t>162914.900.000011</t>
  </si>
  <si>
    <t>Вешалка-плечики</t>
  </si>
  <si>
    <t>напольная, для костюма, деревянная</t>
  </si>
  <si>
    <t>119 Т</t>
  </si>
  <si>
    <t>моноблок универсальный, размер не менее 27, Windows 10 pro, процессор intel core i7, оперативная память 8GB, жесткий диск 1 TB</t>
  </si>
  <si>
    <t>ОТ</t>
  </si>
  <si>
    <t xml:space="preserve">в течение 10 дней с даты заключения договора </t>
  </si>
  <si>
    <t>120 Т</t>
  </si>
  <si>
    <t>моноблок универсальный, Windows 10 pro, процессор intel core i5, оперативная память 4GB, жесткий диск 1 TB</t>
  </si>
  <si>
    <t>121 Т</t>
  </si>
  <si>
    <t>262018.900.000006</t>
  </si>
  <si>
    <t>Устройство многофункциональное</t>
  </si>
  <si>
    <t>лазерная печать, принтер, сканер, копир, факс</t>
  </si>
  <si>
    <t>122 Т</t>
  </si>
  <si>
    <t>262016.300.000016</t>
  </si>
  <si>
    <t>Принтер лазерный</t>
  </si>
  <si>
    <t xml:space="preserve"> лазерная печать, принтер</t>
  </si>
  <si>
    <t>123 Т</t>
  </si>
  <si>
    <t>печать, копирование, сканирование, электронная почта</t>
  </si>
  <si>
    <t>124 Т</t>
  </si>
  <si>
    <t>262011.100.000004</t>
  </si>
  <si>
    <t>Ноутбук</t>
  </si>
  <si>
    <t>windows 10 pro, разрешение экрана 1366х768 HD, процессор intel core i7, оперативная память 8GB, жесткий диск 1 TB</t>
  </si>
  <si>
    <t>125 Т</t>
  </si>
  <si>
    <t>271231.900.000037</t>
  </si>
  <si>
    <t>Сумка</t>
  </si>
  <si>
    <t>для ноутбука, размер 17*3</t>
  </si>
  <si>
    <t>126 Т</t>
  </si>
  <si>
    <t>263021.900.000002</t>
  </si>
  <si>
    <t xml:space="preserve">Маршрутизатор </t>
  </si>
  <si>
    <t>интернет-центр, поддержка WiFI, 4 порта</t>
  </si>
  <si>
    <t>127 Т</t>
  </si>
  <si>
    <t>262040.000.000231</t>
  </si>
  <si>
    <t>Источник бесперебойного пита</t>
  </si>
  <si>
    <t>мощность на выходе, 360 Вт, наличие аккумуляторной батареи в комплекте</t>
  </si>
  <si>
    <t>128 Т</t>
  </si>
  <si>
    <t>печать, копирование, сканирование, цветное</t>
  </si>
  <si>
    <t>129 Т</t>
  </si>
  <si>
    <t>262013.000.000022</t>
  </si>
  <si>
    <t>Сервер</t>
  </si>
  <si>
    <t>серверное оборудование</t>
  </si>
  <si>
    <t>130 Т</t>
  </si>
  <si>
    <t>263023.900.000068</t>
  </si>
  <si>
    <t>Учрежденческо-производственная АТС</t>
  </si>
  <si>
    <t>IP-телефония</t>
  </si>
  <si>
    <t>131 Т</t>
  </si>
  <si>
    <t>поддержка WiFI, 4 порта</t>
  </si>
  <si>
    <t>132 Т</t>
  </si>
  <si>
    <t>263040.900.000011</t>
  </si>
  <si>
    <t>Точка доступа</t>
  </si>
  <si>
    <t>Wi-FI</t>
  </si>
  <si>
    <t>133 Т</t>
  </si>
  <si>
    <t>262040.000.000232</t>
  </si>
  <si>
    <t>специализированные ИБП для сетевого оборудования, наличие аккумуляторной батареи в комплекте</t>
  </si>
  <si>
    <t>134 Т</t>
  </si>
  <si>
    <t>262040.000.000233</t>
  </si>
  <si>
    <t>135 Т</t>
  </si>
  <si>
    <t>263021.200.000006</t>
  </si>
  <si>
    <t>Сетевой коммутатор</t>
  </si>
  <si>
    <t>с 48 портами</t>
  </si>
  <si>
    <t>136 Т</t>
  </si>
  <si>
    <t>262017.900.000002</t>
  </si>
  <si>
    <t>Проектор цифровой</t>
  </si>
  <si>
    <t>экран проекционный, указка лазерная зеленым светодиодом</t>
  </si>
  <si>
    <t>137 Т</t>
  </si>
  <si>
    <t>262021.300.000032</t>
  </si>
  <si>
    <t>Внешний жесткий диск</t>
  </si>
  <si>
    <t>Объем 1 ТВ</t>
  </si>
  <si>
    <t>138 Т</t>
  </si>
  <si>
    <t>310913.900.000003</t>
  </si>
  <si>
    <t>Гарнитур мебельный</t>
  </si>
  <si>
    <t>Комплект</t>
  </si>
  <si>
    <t>139 Т</t>
  </si>
  <si>
    <t>140 Т</t>
  </si>
  <si>
    <t>141 Т</t>
  </si>
  <si>
    <t xml:space="preserve">
</t>
  </si>
  <si>
    <t>142 Т</t>
  </si>
  <si>
    <t>310012.500.000004</t>
  </si>
  <si>
    <t>Диван</t>
  </si>
  <si>
    <t>3-х местный, для офисов</t>
  </si>
  <si>
    <t>143 Т</t>
  </si>
  <si>
    <t>310913.900.000011</t>
  </si>
  <si>
    <t xml:space="preserve">Стол </t>
  </si>
  <si>
    <t>журнальный стол</t>
  </si>
  <si>
    <t>144 Т</t>
  </si>
  <si>
    <t>259921.300.000000</t>
  </si>
  <si>
    <t>Сейф</t>
  </si>
  <si>
    <t>огнестойкий сейф</t>
  </si>
  <si>
    <t>145 Т</t>
  </si>
  <si>
    <t>146 Т</t>
  </si>
  <si>
    <t>310011.500.000003</t>
  </si>
  <si>
    <t>Кресло</t>
  </si>
  <si>
    <t>офисное кресло, база пластиковая на пятилучевой пластиковой  креставине  на колесиках, подлокотники пластиковые, обивка спинки сетчатая, сидушка мягкая обивка ткань, механизм регулировки высоты сидения ,механизм качания</t>
  </si>
  <si>
    <t>147 Т</t>
  </si>
  <si>
    <t>310012.550.000002</t>
  </si>
  <si>
    <t>148 Т</t>
  </si>
  <si>
    <t>310011.500.000004</t>
  </si>
  <si>
    <t>149 Т</t>
  </si>
  <si>
    <t>310111.300.000004</t>
  </si>
  <si>
    <t>150 Т</t>
  </si>
  <si>
    <t>310112.500.000000</t>
  </si>
  <si>
    <t>Тумба</t>
  </si>
  <si>
    <t>151 Т</t>
  </si>
  <si>
    <t>310112.500.000003</t>
  </si>
  <si>
    <t>Стеллаж</t>
  </si>
  <si>
    <t>шкаф комбинированный</t>
  </si>
  <si>
    <t>152 Т</t>
  </si>
  <si>
    <t>310112.700.000000</t>
  </si>
  <si>
    <t>Шкаф</t>
  </si>
  <si>
    <t>гардероб комбинированный</t>
  </si>
  <si>
    <t>153 Т</t>
  </si>
  <si>
    <t>стеллаж офисный для проектных документов</t>
  </si>
  <si>
    <t>154 Т</t>
  </si>
  <si>
    <t>310111.900.000000</t>
  </si>
  <si>
    <t>стеллаж архивный</t>
  </si>
  <si>
    <t>155 Т</t>
  </si>
  <si>
    <t>310112.900.000000</t>
  </si>
  <si>
    <t>пенал для документов, открытый широкий</t>
  </si>
  <si>
    <t>156 Т</t>
  </si>
  <si>
    <t>310011.750.000009</t>
  </si>
  <si>
    <t>Стул</t>
  </si>
  <si>
    <t>157 Т</t>
  </si>
  <si>
    <t>310112.300.000001</t>
  </si>
  <si>
    <t>конференц-стол</t>
  </si>
  <si>
    <t>158 Т</t>
  </si>
  <si>
    <t>275111.100.000015</t>
  </si>
  <si>
    <t>Холодильник</t>
  </si>
  <si>
    <t>электронный, двухкамерный</t>
  </si>
  <si>
    <t>159 Т</t>
  </si>
  <si>
    <t>275111.100.000016</t>
  </si>
  <si>
    <t>160 Т</t>
  </si>
  <si>
    <t>139312.000.000020</t>
  </si>
  <si>
    <t>Ковер</t>
  </si>
  <si>
    <t>размер 3*4 м</t>
  </si>
  <si>
    <t>161 Т</t>
  </si>
  <si>
    <t>289911.500.000010</t>
  </si>
  <si>
    <t>Устройство для прошивки документов</t>
  </si>
  <si>
    <t>брошюратор</t>
  </si>
  <si>
    <t>162 Т</t>
  </si>
  <si>
    <t>станок для прошивки документов</t>
  </si>
  <si>
    <t>163 Т</t>
  </si>
  <si>
    <t>275125.900.000011</t>
  </si>
  <si>
    <t xml:space="preserve">Диспенсер </t>
  </si>
  <si>
    <t>диспенсер для воды, напольный, со шкафом для посуды, с электронным охлаждением и подогревом</t>
  </si>
  <si>
    <t>164 Т</t>
  </si>
  <si>
    <t>275127.000.000001</t>
  </si>
  <si>
    <t>Микроволновая печь</t>
  </si>
  <si>
    <t>мощность микроволн  не менее 800Вт, тип управления механический</t>
  </si>
  <si>
    <t>165 Т</t>
  </si>
  <si>
    <t>262030.100.000025</t>
  </si>
  <si>
    <t>Уничтожитель бумаги и дисков</t>
  </si>
  <si>
    <t>шредер, тип резки бумаги перекрестная, лоток подачи бумаги, емкость для бумаг</t>
  </si>
  <si>
    <t>166 Т</t>
  </si>
  <si>
    <t>262030.100.000044</t>
  </si>
  <si>
    <t>Комплекс оборудования сетевой безопасности</t>
  </si>
  <si>
    <t>антивирус 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</si>
  <si>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ЗЦП</t>
  </si>
  <si>
    <t>167 Т</t>
  </si>
  <si>
    <t>620129.000.000000</t>
  </si>
  <si>
    <t>Программное обеспечение</t>
  </si>
  <si>
    <t>Офисное приложение, T5D-02704 MS Office Home and Business 2016 32/64 RU Kazakhstan Only DVD P2</t>
  </si>
  <si>
    <t>168 Т</t>
  </si>
  <si>
    <t>Программный комплекс АBC - 4</t>
  </si>
  <si>
    <t>169 Т</t>
  </si>
  <si>
    <t xml:space="preserve">Autodesk Autocad </t>
  </si>
  <si>
    <t>170 Т</t>
  </si>
  <si>
    <t>Navisworks Manage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</si>
  <si>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</si>
  <si>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</si>
  <si>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Бланочная продукция, визитки, открытки, штампы, печати, папки для прессы, флажки, кувертки, пресс стены, ролл-апы, пакеты (сувенирная продукция)</t>
  </si>
  <si>
    <t>Услуга</t>
  </si>
  <si>
    <t>749020.000.000018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</si>
  <si>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</si>
  <si>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493212.000.000000</t>
  </si>
  <si>
    <t>Услуги по аренде дежурного автомобиля с водителем</t>
  </si>
  <si>
    <t>4 У</t>
  </si>
  <si>
    <t>Аренда автомобиля с водителем по ненормированным условиям, работа на бездорожных условиях ( Стройплощадка), на 1 квартал 2018г</t>
  </si>
  <si>
    <t>5 У</t>
  </si>
  <si>
    <t>620920.000.000001</t>
  </si>
  <si>
    <t xml:space="preserve">Настройка и сопровождение 1С-Предприятие </t>
  </si>
  <si>
    <t>Техническое сопровождение 1С-Предприятия</t>
  </si>
  <si>
    <t>6 У</t>
  </si>
  <si>
    <t>951110.000.000003</t>
  </si>
  <si>
    <t>Технический сервис оргтехники и компьютеров</t>
  </si>
  <si>
    <t>Техническое обслуживание оргтехники и компьютеров</t>
  </si>
  <si>
    <t>7 У</t>
  </si>
  <si>
    <t>181410.100.000001</t>
  </si>
  <si>
    <t>Услуги переплета документов</t>
  </si>
  <si>
    <t>Услуги переплета документов КФ "Компания по строительству объектов"</t>
  </si>
  <si>
    <t>8 У</t>
  </si>
  <si>
    <t>532011.500.000000</t>
  </si>
  <si>
    <t xml:space="preserve">Услуги по пересылке почтовых отправлений </t>
  </si>
  <si>
    <t>Пересылка почты с вызовом курьера</t>
  </si>
  <si>
    <t xml:space="preserve">Антивирус </t>
  </si>
  <si>
    <t xml:space="preserve">Офисное приложение </t>
  </si>
  <si>
    <t>T5D-02704 MS Office Home and Business 2016 32/64 RU Kazakhstan Only DVD P2</t>
  </si>
  <si>
    <t>1C-Рейтинг</t>
  </si>
  <si>
    <t>Управление финансами строительной организации для Казахстана</t>
  </si>
  <si>
    <t>Для проверки, обработки ПСД</t>
  </si>
  <si>
    <t>13 У</t>
  </si>
  <si>
    <t>620312.000.000000</t>
  </si>
  <si>
    <t>Услуги по аутсорсингу</t>
  </si>
  <si>
    <t>Услуги по технической поддержке информационных технологий</t>
  </si>
  <si>
    <t>14 У</t>
  </si>
  <si>
    <t>691016.000.000000</t>
  </si>
  <si>
    <t>Нотариальные и прочие юридические услуги</t>
  </si>
  <si>
    <t>Нотариальное оформление документов</t>
  </si>
  <si>
    <t>15 У</t>
  </si>
  <si>
    <t>бланочная продукция, визитки, открытки, конверты, таблички для дверей, штампы, печати, папки с лого, флажки, кувертки, ручки лого, ежедневники с лого</t>
  </si>
  <si>
    <t>16 У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</si>
  <si>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</si>
  <si>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 xml:space="preserve">Аванс 100%  </t>
  </si>
  <si>
    <t>17 У</t>
  </si>
  <si>
    <t>18 У</t>
  </si>
  <si>
    <t>услуги по аренде автомобиля с водителем</t>
  </si>
  <si>
    <t>19 У</t>
  </si>
  <si>
    <t>20 У</t>
  </si>
  <si>
    <t>Услуги по администрированию и техническому обслуживанию программного обеспечения</t>
  </si>
  <si>
    <t xml:space="preserve">настройка и сопровождение 1С-Предприятие </t>
  </si>
  <si>
    <t>21 У</t>
  </si>
  <si>
    <t xml:space="preserve">настройка и сопровождение 1С-Управление финансами стройтеьной огранизации </t>
  </si>
  <si>
    <t>22 У</t>
  </si>
  <si>
    <t>1С-Рейтинг: Управление финансами строительной организации с приложением и платформой на 5 пользователей</t>
  </si>
  <si>
    <t>23 У</t>
  </si>
  <si>
    <t xml:space="preserve">1С: Бухгалтерия 8  (USB)  на 5 пользователей </t>
  </si>
  <si>
    <t>24 У</t>
  </si>
  <si>
    <t>1С Предприятие 8.3 Лицензия на сервер</t>
  </si>
  <si>
    <t>25 У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</si>
  <si>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</si>
  <si>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оргтехники и компьютеров</t>
  </si>
  <si>
    <t>26 У</t>
  </si>
  <si>
    <t>Услуги по переплету</t>
  </si>
  <si>
    <t xml:space="preserve">услуги переплета документов </t>
  </si>
  <si>
    <t>Июнь</t>
  </si>
  <si>
    <t>27 У</t>
  </si>
  <si>
    <t>531012.200.000000</t>
  </si>
  <si>
    <t>Услуги по пересылке регистрируемых почтовых отправлений</t>
  </si>
  <si>
    <t>пересылка почты с вызовом курьера</t>
  </si>
  <si>
    <t>28 У</t>
  </si>
  <si>
    <t xml:space="preserve">проектный и строительный сектор, база РСНБ ресурсный метод </t>
  </si>
  <si>
    <t>29 У</t>
  </si>
  <si>
    <t>услуги по технической поддержке информационных технологий</t>
  </si>
  <si>
    <t>30 У</t>
  </si>
  <si>
    <t>Услуги нотариальные</t>
  </si>
  <si>
    <t>нотариальное оформление документов</t>
  </si>
  <si>
    <t>31 У</t>
  </si>
  <si>
    <t>631112.000.000000</t>
  </si>
  <si>
    <t>Работы по разработке/созданию сайтов</t>
  </si>
  <si>
    <t>разработка сайта</t>
  </si>
  <si>
    <t xml:space="preserve">в течение 60 дней с даты заключения договора </t>
  </si>
  <si>
    <t>32 У</t>
  </si>
  <si>
    <t>620230.000.000003</t>
  </si>
  <si>
    <t>Услуги по технической поддержке сайтов</t>
  </si>
  <si>
    <t>обслуживание сайта</t>
  </si>
  <si>
    <t>33 У</t>
  </si>
  <si>
    <t>информационная система</t>
  </si>
  <si>
    <t>34 У</t>
  </si>
  <si>
    <t>531011.100.000001</t>
  </si>
  <si>
    <t>Услуги по подписке на печатные периодические издания</t>
  </si>
  <si>
    <t>бухгалтерский комплекс</t>
  </si>
  <si>
    <t>35 У</t>
  </si>
  <si>
    <t>581929.600.000000</t>
  </si>
  <si>
    <t>Услуги по размещению рекламных/информационных материалов в электронных материалах</t>
  </si>
  <si>
    <t>размещение объявлений в периодических печатных изданиях</t>
  </si>
  <si>
    <t>36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</si>
  <si>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</si>
  <si>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</si>
  <si>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</si>
  <si>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37 У</t>
  </si>
  <si>
    <t>682012.960.000000</t>
  </si>
  <si>
    <t>Услуги по аренде административных/производственных помещений</t>
  </si>
  <si>
    <t>услуги по аренде административных/производственных помещений</t>
  </si>
  <si>
    <t>38 У</t>
  </si>
  <si>
    <t>682012.970.000001</t>
  </si>
  <si>
    <t>Услуги по аренде парковочных мест в автомобильном паркинге</t>
  </si>
  <si>
    <t>услуги по аренде парковочных мест в автомобильном паркинге</t>
  </si>
  <si>
    <t>39 У</t>
  </si>
  <si>
    <t>612042.100.000000</t>
  </si>
  <si>
    <t>Услуги по доступу к Интернету</t>
  </si>
  <si>
    <t>услуги по доступу к Интернету и телефонии с IP адресами</t>
  </si>
  <si>
    <t>40 У</t>
  </si>
  <si>
    <t>783016.000.000000</t>
  </si>
  <si>
    <t>Услуги по предоставлению медицинского обслуживания персонала</t>
  </si>
  <si>
    <t>услуги по предоставлению медицинского обслуживания персонала</t>
  </si>
  <si>
    <t>1-1 Т</t>
  </si>
  <si>
    <t xml:space="preserve">План закупок товаров, работ и услуг на 2018 год Корпоративный фонд "Компания по строительству объектов" </t>
  </si>
  <si>
    <t>изменение 18, 20, 21</t>
  </si>
  <si>
    <t>исключена</t>
  </si>
  <si>
    <t>14-1 Т</t>
  </si>
  <si>
    <t>16-1 Т</t>
  </si>
  <si>
    <t>19-1 Т</t>
  </si>
  <si>
    <t>24-1 Т</t>
  </si>
  <si>
    <t>25-1 Т</t>
  </si>
  <si>
    <t>37-1 Т</t>
  </si>
  <si>
    <t>43-1 Т</t>
  </si>
  <si>
    <t>46-1 Т</t>
  </si>
  <si>
    <t>53-1 Т</t>
  </si>
  <si>
    <t>56-1 Т</t>
  </si>
  <si>
    <t>57-1 Т</t>
  </si>
  <si>
    <t>Февраль</t>
  </si>
  <si>
    <t>69-1 Т</t>
  </si>
  <si>
    <t>70-1 Т</t>
  </si>
  <si>
    <t>71-1 Т</t>
  </si>
  <si>
    <t>С 19.02.2018 по 31.03.2018г.</t>
  </si>
  <si>
    <t>Аванс 100%</t>
  </si>
  <si>
    <t>с 26.02.2018 по 31.03.2018 г.</t>
  </si>
  <si>
    <t>с даты заключения договора в течение 12 месяцев</t>
  </si>
  <si>
    <t>Аренда офисного помещения</t>
  </si>
  <si>
    <t>С 05.02.2018 по 31.12.2018г.</t>
  </si>
  <si>
    <t>4-1 У</t>
  </si>
  <si>
    <t>619010.900.000003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</si>
  <si>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</si>
  <si>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</si>
  <si>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Январь</t>
  </si>
  <si>
    <t>изменение 19, 20, 21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</si>
  <si>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</si>
  <si>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</si>
  <si>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 xml:space="preserve">Услуги по подготовке информационных материалов и публикации/размещению в средствах массовой информации </t>
  </si>
  <si>
    <t>26-1 Т</t>
  </si>
  <si>
    <t>28-1 Т</t>
  </si>
  <si>
    <t>31-1 Т</t>
  </si>
  <si>
    <t>33-1 Т</t>
  </si>
  <si>
    <t>38-1 Т</t>
  </si>
  <si>
    <t>44-1 Т</t>
  </si>
  <si>
    <t>47-1 Т</t>
  </si>
  <si>
    <t>54-1 Т</t>
  </si>
  <si>
    <t>58-1 Т</t>
  </si>
  <si>
    <t>66-1 Т</t>
  </si>
  <si>
    <t>72-1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</si>
  <si>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</si>
  <si>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</si>
  <si>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</si>
  <si>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</si>
  <si>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</si>
  <si>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</si>
  <si>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</si>
  <si>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</si>
  <si>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</si>
  <si>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</si>
  <si>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</si>
  <si>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</si>
  <si>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</si>
  <si>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</si>
  <si>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</si>
  <si>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</si>
  <si>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</si>
  <si>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</si>
  <si>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</si>
  <si>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</si>
  <si>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</si>
  <si>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</si>
  <si>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</si>
  <si>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</si>
  <si>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</si>
  <si>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</si>
  <si>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</si>
  <si>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</si>
  <si>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</si>
  <si>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</si>
  <si>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</si>
  <si>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Итого по товарам</t>
  </si>
  <si>
    <t>Итого по работам</t>
  </si>
  <si>
    <t>9 У</t>
  </si>
  <si>
    <t>10 У</t>
  </si>
  <si>
    <t>11 У</t>
  </si>
  <si>
    <t>12 У</t>
  </si>
  <si>
    <t>13-1 У</t>
  </si>
  <si>
    <t>Итого по услугам</t>
  </si>
  <si>
    <t xml:space="preserve">комплект мебели: стол офисный двухтумбовый, стол офисный, приставной компьютерный, 5-ти дверный книжный шкаф, кресло руководителя, стул для посетителей с подлокотниками, стул для посетителей </t>
  </si>
  <si>
    <t>комплект мебели: стол с приставкой, шкаф с отделением для одежды с глухими дверями и шкаф для документов с комбинированными дверями</t>
  </si>
  <si>
    <t>стол с приставкой, кресло, шкаф</t>
  </si>
  <si>
    <t>комплект (набор) офисной мебели: рабочий стол со столешницой, брифинг-приставка, 
мобильная тумба, шкаф для документов и одежды</t>
  </si>
  <si>
    <t>офисное кресло, на пятилучевой  креставине с деревянными накладками  на колесиках, подлокотники с деревянными  накладками, обивка ЭКО кожа  механизм регулировки высоты сидения, механизм качания</t>
  </si>
  <si>
    <t>на пятилучевой  креставине на колесиках, подлокотники , обивка ЭКО кожа, механизм регулировки высоты сидения, механизм качания</t>
  </si>
  <si>
    <t>стол со столешницой</t>
  </si>
  <si>
    <t>тумба мобильная, установлена на четыре колесные опоры</t>
  </si>
  <si>
    <t xml:space="preserve"> стул на хромированной раме, подлокотники хромированные с накладками, мягкие обитые сидения и спинка, обивка эко кожа</t>
  </si>
  <si>
    <t>услуги по аренде автомобиля, класс внедорожник с водителем</t>
  </si>
  <si>
    <t>Услуги по аренде легковых автомобилей с водителем</t>
  </si>
  <si>
    <t>с даты заключения договора до подведения итогов тендера</t>
  </si>
  <si>
    <t>41 У</t>
  </si>
  <si>
    <t>42 У</t>
  </si>
  <si>
    <t>43 У</t>
  </si>
  <si>
    <t>582950.000.000001</t>
  </si>
  <si>
    <t>Услуги по предоставлению лицензий на право использования программного обеспечения</t>
  </si>
  <si>
    <t>линейка пластиковая до 30 см</t>
  </si>
  <si>
    <t xml:space="preserve">Услуги по аренде легковых автомобилей </t>
  </si>
  <si>
    <t>с даты заключения договора до 31.12.2018 г.</t>
  </si>
  <si>
    <t>Аванс 30%</t>
  </si>
  <si>
    <t>ТПХ</t>
  </si>
  <si>
    <t xml:space="preserve">Аванс 0%  </t>
  </si>
  <si>
    <t>с даты заключения договора до 31 мая 2018г.</t>
  </si>
  <si>
    <t xml:space="preserve">С изменениями и дополнениями от "24" апреля 2018 г. Приказ №22 </t>
  </si>
  <si>
    <t>Приказ об утверждении плана закупок №1 от "8" февраля 2018 г.</t>
  </si>
  <si>
    <t>Источник бесперебойного питания</t>
  </si>
  <si>
    <t>экран проекционный, указка лазерная</t>
  </si>
  <si>
    <t>Услуги по размещению рекламных/информационных материалов в печатных материалах (кроме книг и периодических изданий)</t>
  </si>
  <si>
    <t>581915.300.000000</t>
  </si>
  <si>
    <t>Бумага для офисного оборудования</t>
  </si>
  <si>
    <t>лента клейкая (скотч)</t>
  </si>
  <si>
    <t>Стикер (индекс)  в наборе, 45х12, мин 5 цветов</t>
  </si>
  <si>
    <t>напольная, тип кактус</t>
  </si>
  <si>
    <t>комплект мебели: стол с приставкой, шкаф с отделением для одежды, шкаф для документов</t>
  </si>
  <si>
    <t>комплект (набор) офисной мебели: рабочий стол со столешницой, брифинг-приставка, 
шкаф для документов и одежды</t>
  </si>
  <si>
    <t>офисное кресло, база пластиковая на пятилучевой пластиковой  креставине  на колесиках, подлокотники пластиковые</t>
  </si>
  <si>
    <t>офисное кресло, на пятилучевой  креставине с деревянными накладками  на колесиках, подлокотники с деревянными  накладками</t>
  </si>
  <si>
    <t>на пятилучевой  креставине на колесиках, подлокотники</t>
  </si>
  <si>
    <t xml:space="preserve"> стул на хромированной раме, подлокотники хромированные с накладками, мягкие обитые сидения и спинка</t>
  </si>
  <si>
    <t>Программный комплекс для проектирования</t>
  </si>
  <si>
    <t xml:space="preserve">Офисное приложение, MS Office Home and Business </t>
  </si>
  <si>
    <t>Программный комплекс для строительства</t>
  </si>
  <si>
    <t>Для архитектурно-строительных проектов</t>
  </si>
  <si>
    <t>лазерная печать, принтер, сканер, копир</t>
  </si>
  <si>
    <t>печать, копирование, сканирование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</si>
</sst>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;@"/>
  </numFmts>
  <fonts count="12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1"/>
    <xf numFmtId="0" fontId="7" fillId="2" borderId="1" applyNumberFormat="0" applyFill="0" applyBorder="0" applyAlignment="0" applyProtection="0"/>
  </cellStyleXfs>
  <cellXfs count="140">
    <xf numFmtId="0" fontId="0" fillId="0" borderId="0" xfId="0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/>
    <xf numFmtId="0" fontId="3" fillId="2" borderId="8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0" fontId="3" fillId="2" borderId="11" xfId="0" applyNumberFormat="1" applyFont="1" applyFill="1" applyBorder="1"/>
    <xf numFmtId="0" fontId="2" fillId="2" borderId="9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2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wrapText="1"/>
    </xf>
    <xf numFmtId="0" fontId="2" fillId="2" borderId="4" xfId="0" applyNumberFormat="1" applyFont="1" applyFill="1" applyBorder="1" applyAlignment="1">
      <alignment wrapText="1"/>
    </xf>
    <xf numFmtId="0" fontId="6" fillId="3" borderId="5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5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0" fontId="2" fillId="2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/>
    <xf numFmtId="0" fontId="2" fillId="2" borderId="1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/>
    <xf numFmtId="2" fontId="2" fillId="2" borderId="1" xfId="0" applyNumberFormat="1" applyFont="1" applyFill="1" applyBorder="1"/>
    <xf numFmtId="2" fontId="4" fillId="0" borderId="0" xfId="0" applyNumberFormat="1" applyFont="1"/>
    <xf numFmtId="2" fontId="4" fillId="0" borderId="0" xfId="0" applyNumberFormat="1" applyFont="1" applyFill="1"/>
    <xf numFmtId="2" fontId="2" fillId="0" borderId="1" xfId="0" applyNumberFormat="1" applyFont="1" applyFill="1" applyBorder="1"/>
    <xf numFmtId="4" fontId="2" fillId="2" borderId="1" xfId="0" applyNumberFormat="1" applyFont="1" applyFill="1" applyBorder="1"/>
    <xf numFmtId="4" fontId="5" fillId="2" borderId="6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/>
    <xf numFmtId="4" fontId="2" fillId="2" borderId="5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right"/>
    </xf>
    <xf numFmtId="0" fontId="3" fillId="2" borderId="20" xfId="0" applyNumberFormat="1" applyFont="1" applyFill="1" applyBorder="1" applyAlignment="1">
      <alignment horizontal="right" vertical="center"/>
    </xf>
    <xf numFmtId="0" fontId="3" fillId="2" borderId="21" xfId="0" applyNumberFormat="1" applyFont="1" applyFill="1" applyBorder="1" applyAlignment="1">
      <alignment horizontal="right" vertical="center"/>
    </xf>
    <xf numFmtId="0" fontId="3" fillId="2" borderId="22" xfId="0" applyNumberFormat="1" applyFont="1" applyFill="1" applyBorder="1" applyAlignment="1">
      <alignment horizontal="right" vertical="center"/>
    </xf>
    <xf numFmtId="0" fontId="3" fillId="2" borderId="23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24" xfId="0" applyNumberFormat="1" applyFont="1" applyFill="1" applyBorder="1" applyAlignment="1">
      <alignment horizontal="right" vertical="center"/>
    </xf>
    <xf numFmtId="0" fontId="3" fillId="2" borderId="25" xfId="0" applyNumberFormat="1" applyFont="1" applyFill="1" applyBorder="1" applyAlignment="1">
      <alignment horizontal="right" vertical="center"/>
    </xf>
    <xf numFmtId="0" fontId="3" fillId="2" borderId="26" xfId="0" applyNumberFormat="1" applyFont="1" applyFill="1" applyBorder="1" applyAlignment="1">
      <alignment horizontal="right" vertical="center"/>
    </xf>
    <xf numFmtId="0" fontId="3" fillId="2" borderId="27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/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left"/>
    </xf>
    <xf numFmtId="0" fontId="3" fillId="2" borderId="11" xfId="0" applyNumberFormat="1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wrapText="1"/>
    </xf>
    <xf numFmtId="0" fontId="3" fillId="2" borderId="10" xfId="0" applyNumberFormat="1" applyFont="1" applyFill="1" applyBorder="1" applyAlignment="1">
      <alignment horizontal="left" wrapText="1"/>
    </xf>
    <xf numFmtId="0" fontId="3" fillId="2" borderId="10" xfId="0" applyNumberFormat="1" applyFont="1" applyFill="1" applyBorder="1" applyAlignment="1">
      <alignment horizontal="left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stru.kz/code_new.jsp?&amp;t=%D1%81%D0%B5%D1%80%D0%B2%D0%B5%D1%80&amp;s=common&amp;p=10&amp;n=0&amp;S=262013%2E000&amp;N=%D0%A1%D0%B5%D1%80%D0%B2%D0%B5%D1%80&amp;fc=1&amp;fg=1&amp;new=262013.000.000022" TargetMode="External"/><Relationship Id="rId1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6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9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34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42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47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0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1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17" Type="http://schemas.openxmlformats.org/officeDocument/2006/relationships/hyperlink" Target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TargetMode="External"/><Relationship Id="rId25" Type="http://schemas.openxmlformats.org/officeDocument/2006/relationships/hyperlink" Target="http://enstru.kz/code_new.jsp?&amp;t=%D0%BA%D0%BE%D0%B2%D0%B5%D1%80&amp;s=common&amp;p=10&amp;n=1&amp;S=139311%2E000,139312%2E000,139313%2E000,139319%2E900&amp;N=%D0%9A%D0%BE%D0%B2%D0%B5%D1%80&amp;fc=1&amp;fg=1&amp;new=139312.000.000020" TargetMode="External"/><Relationship Id="rId33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3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6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2" Type="http://schemas.openxmlformats.org/officeDocument/2006/relationships/hyperlink" Target="https://enstru.kz/code_new.jsp?&amp;t=%D0%BF%D1%80%D0%B8%D0%BD%D1%82%D0%B5%D1%80&amp;s=common&amp;p=10&amp;n=0&amp;S=262016%2E300,262040%2E000&amp;N=%D0%9F%D1%80%D0%B8%D0%BD%D1%82%D0%B5%D1%80&amp;fc=1&amp;fg=1&amp;new=262016.300.000016" TargetMode="External"/><Relationship Id="rId16" Type="http://schemas.openxmlformats.org/officeDocument/2006/relationships/hyperlink" Target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TargetMode="External"/><Relationship Id="rId2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29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41" Type="http://schemas.openxmlformats.org/officeDocument/2006/relationships/hyperlink" Target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TargetMode="External"/><Relationship Id="rId54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1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" Type="http://schemas.openxmlformats.org/officeDocument/2006/relationships/hyperlink" Target="https://enstru.kz/code_new.jsp?&amp;t=%D0%BD%D0%BE%D1%83%D1%82%D0%B1%D1%83%D0%BA&amp;s=common&amp;p=10&amp;n=0&amp;S=262011%2E100&amp;N=%D0%9D%D0%BE%D1%83%D1%82%D0%B1%D1%83%D0%BA&amp;fc=1&amp;fg=1&amp;new=262011.100.000004" TargetMode="External"/><Relationship Id="rId11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TargetMode="External"/><Relationship Id="rId24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32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37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0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45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3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5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15" Type="http://schemas.openxmlformats.org/officeDocument/2006/relationships/hyperlink" Target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TargetMode="External"/><Relationship Id="rId23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28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36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49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1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TargetMode="External"/><Relationship Id="rId19" Type="http://schemas.openxmlformats.org/officeDocument/2006/relationships/hyperlink" Target="http://enstru.kz/code_new.jsp?&amp;t=%D0%BA%D1%80%D0%B5%D1%81%D0%BB%D0%BE&amp;s=common&amp;p=10&amp;n=0&amp;S=310011%2E500,310011%2E750,310012%2E550,310012%2E590,310012%2E592&amp;N=%D0%9A%D1%80%D0%B5%D1%81%D0%BB%D0%BE&amp;fc=1&amp;fg=1&amp;new=310012.550.000002" TargetMode="External"/><Relationship Id="rId31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44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52" Type="http://schemas.openxmlformats.org/officeDocument/2006/relationships/hyperlink" Target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TargetMode="External"/><Relationship Id="rId4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9" Type="http://schemas.openxmlformats.org/officeDocument/2006/relationships/hyperlink" Target="https://enstru.kz/code_new.jsp?&amp;t=%D1%81%D1%83%D0%BC%D0%BA%D0%B0%20%D0%B4%D0%BB%D1%8F&amp;s=common&amp;p=10&amp;n=0&amp;S=271231%2E900&amp;N=%D0%A1%D1%83%D0%BC%D0%BA%D0%B0&amp;fk=on&amp;fc=1&amp;fg=1&amp;new=271231.900.000037" TargetMode="External"/><Relationship Id="rId14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2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27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0" Type="http://schemas.openxmlformats.org/officeDocument/2006/relationships/hyperlink" Target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TargetMode="External"/><Relationship Id="rId35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43" Type="http://schemas.openxmlformats.org/officeDocument/2006/relationships/hyperlink" Target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TargetMode="External"/><Relationship Id="rId48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51" Type="http://schemas.openxmlformats.org/officeDocument/2006/relationships/hyperlink" Target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TargetMode="External"/><Relationship Id="rId3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enstru.kz/code_new.jsp?&amp;t=%D1%81%D0%B5%D1%80%D0%B2%D0%B5%D1%80&amp;s=common&amp;p=10&amp;n=0&amp;S=262013%2E000&amp;N=%D0%A1%D0%B5%D1%80%D0%B2%D0%B5%D1%80&amp;fc=1&amp;fg=1&amp;new=262013.000.000022" TargetMode="External"/><Relationship Id="rId1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6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9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34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42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47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0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1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17" Type="http://schemas.openxmlformats.org/officeDocument/2006/relationships/hyperlink" Target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TargetMode="External"/><Relationship Id="rId25" Type="http://schemas.openxmlformats.org/officeDocument/2006/relationships/hyperlink" Target="http://enstru.kz/code_new.jsp?&amp;t=%D0%BA%D0%BE%D0%B2%D0%B5%D1%80&amp;s=common&amp;p=10&amp;n=1&amp;S=139311%2E000,139312%2E000,139313%2E000,139319%2E900&amp;N=%D0%9A%D0%BE%D0%B2%D0%B5%D1%80&amp;fc=1&amp;fg=1&amp;new=139312.000.000020" TargetMode="External"/><Relationship Id="rId33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3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6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2" Type="http://schemas.openxmlformats.org/officeDocument/2006/relationships/hyperlink" Target="https://enstru.kz/code_new.jsp?&amp;t=%D0%BF%D1%80%D0%B8%D0%BD%D1%82%D0%B5%D1%80&amp;s=common&amp;p=10&amp;n=0&amp;S=262016%2E300,262040%2E000&amp;N=%D0%9F%D1%80%D0%B8%D0%BD%D1%82%D0%B5%D1%80&amp;fc=1&amp;fg=1&amp;new=262016.300.000016" TargetMode="External"/><Relationship Id="rId16" Type="http://schemas.openxmlformats.org/officeDocument/2006/relationships/hyperlink" Target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TargetMode="External"/><Relationship Id="rId2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29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41" Type="http://schemas.openxmlformats.org/officeDocument/2006/relationships/hyperlink" Target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TargetMode="External"/><Relationship Id="rId54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1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" Type="http://schemas.openxmlformats.org/officeDocument/2006/relationships/hyperlink" Target="https://enstru.kz/code_new.jsp?&amp;t=%D0%BD%D0%BE%D1%83%D1%82%D0%B1%D1%83%D0%BA&amp;s=common&amp;p=10&amp;n=0&amp;S=262011%2E100&amp;N=%D0%9D%D0%BE%D1%83%D1%82%D0%B1%D1%83%D0%BA&amp;fc=1&amp;fg=1&amp;new=262011.100.000004" TargetMode="External"/><Relationship Id="rId11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TargetMode="External"/><Relationship Id="rId24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32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37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0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45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3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5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15" Type="http://schemas.openxmlformats.org/officeDocument/2006/relationships/hyperlink" Target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TargetMode="External"/><Relationship Id="rId23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28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36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49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1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TargetMode="External"/><Relationship Id="rId19" Type="http://schemas.openxmlformats.org/officeDocument/2006/relationships/hyperlink" Target="http://enstru.kz/code_new.jsp?&amp;t=%D0%BA%D1%80%D0%B5%D1%81%D0%BB%D0%BE&amp;s=common&amp;p=10&amp;n=0&amp;S=310011%2E500,310011%2E750,310012%2E550,310012%2E590,310012%2E592&amp;N=%D0%9A%D1%80%D0%B5%D1%81%D0%BB%D0%BE&amp;fc=1&amp;fg=1&amp;new=310012.550.000002" TargetMode="External"/><Relationship Id="rId31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44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52" Type="http://schemas.openxmlformats.org/officeDocument/2006/relationships/hyperlink" Target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TargetMode="External"/><Relationship Id="rId4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9" Type="http://schemas.openxmlformats.org/officeDocument/2006/relationships/hyperlink" Target="https://enstru.kz/code_new.jsp?&amp;t=%D1%81%D1%83%D0%BC%D0%BA%D0%B0%20%D0%B4%D0%BB%D1%8F&amp;s=common&amp;p=10&amp;n=0&amp;S=271231%2E900&amp;N=%D0%A1%D1%83%D0%BC%D0%BA%D0%B0&amp;fk=on&amp;fc=1&amp;fg=1&amp;new=271231.900.000037" TargetMode="External"/><Relationship Id="rId14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2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27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0" Type="http://schemas.openxmlformats.org/officeDocument/2006/relationships/hyperlink" Target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TargetMode="External"/><Relationship Id="rId35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43" Type="http://schemas.openxmlformats.org/officeDocument/2006/relationships/hyperlink" Target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TargetMode="External"/><Relationship Id="rId48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51" Type="http://schemas.openxmlformats.org/officeDocument/2006/relationships/hyperlink" Target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TargetMode="External"/><Relationship Id="rId3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93"/>
  <sheetViews>
    <sheetView topLeftCell="F188" zoomScale="80" zoomScaleNormal="80" zoomScaleSheetLayoutView="70" workbookViewId="0">
      <selection activeCell="T191" sqref="T191"/>
    </sheetView>
  </sheetViews>
  <sheetFormatPr defaultColWidth="9.109375" defaultRowHeight="12.75" customHeight="1" outlineLevelCol="1"/>
  <cols>
    <col min="1" max="1" width="5.33203125" style="1" customWidth="1"/>
    <col min="2" max="2" width="7.44140625" style="78" customWidth="1"/>
    <col min="3" max="3" width="14" style="1" customWidth="1"/>
    <col min="4" max="4" width="18.6640625" style="1" customWidth="1" outlineLevel="1"/>
    <col min="5" max="5" width="15.88671875" style="1" customWidth="1"/>
    <col min="6" max="6" width="24.88671875" style="1" customWidth="1"/>
    <col min="7" max="7" width="17.33203125" style="1" customWidth="1" outlineLevel="1"/>
    <col min="8" max="8" width="9.88671875" style="1" customWidth="1"/>
    <col min="9" max="9" width="9.5546875" style="1" customWidth="1"/>
    <col min="10" max="10" width="12.109375" style="1" customWidth="1" outlineLevel="1"/>
    <col min="11" max="11" width="12.33203125" style="1" customWidth="1" outlineLevel="1"/>
    <col min="12" max="12" width="12.5546875" style="1" customWidth="1"/>
    <col min="13" max="13" width="11" style="1" customWidth="1"/>
    <col min="14" max="14" width="10.109375" style="1" customWidth="1"/>
    <col min="15" max="15" width="15.88671875" style="1" customWidth="1"/>
    <col min="16" max="16" width="15" style="1" customWidth="1"/>
    <col min="17" max="17" width="10.5546875" style="1" customWidth="1"/>
    <col min="18" max="18" width="9.5546875" style="1" customWidth="1"/>
    <col min="19" max="19" width="10.33203125" style="1" customWidth="1"/>
    <col min="20" max="20" width="13.33203125" style="1" customWidth="1"/>
    <col min="21" max="21" width="14.6640625" style="1" customWidth="1"/>
    <col min="22" max="22" width="14.33203125" style="1" customWidth="1"/>
    <col min="23" max="23" width="12.33203125" style="1" customWidth="1"/>
    <col min="24" max="24" width="11.33203125" style="1" customWidth="1"/>
    <col min="25" max="25" width="12.44140625" style="1" customWidth="1"/>
    <col min="26" max="27" width="9.109375" style="101" customWidth="1"/>
    <col min="28" max="28" width="11.88671875" style="101" customWidth="1"/>
    <col min="29" max="39" width="9.109375" style="1" customWidth="1"/>
    <col min="40" max="16384" width="9.109375" style="3"/>
  </cols>
  <sheetData>
    <row r="1" spans="2:26" ht="12.75" customHeight="1">
      <c r="O1" s="4"/>
      <c r="V1" s="4"/>
      <c r="W1" s="4"/>
    </row>
    <row r="2" spans="2:26" ht="12.75" customHeight="1">
      <c r="B2" s="112" t="s">
        <v>722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2:26" ht="13.5" customHeight="1" thickBot="1">
      <c r="B3" s="113"/>
      <c r="C3" s="113"/>
      <c r="D3" s="114" t="s">
        <v>0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2:26" ht="10.5" customHeight="1">
      <c r="L4" s="4"/>
      <c r="M4" s="4"/>
      <c r="N4" s="4"/>
      <c r="O4" s="4"/>
      <c r="R4" s="5"/>
      <c r="S4" s="5"/>
      <c r="T4" s="115" t="s">
        <v>830</v>
      </c>
      <c r="U4" s="116"/>
      <c r="V4" s="116"/>
      <c r="W4" s="116"/>
      <c r="X4" s="116"/>
      <c r="Y4" s="117"/>
    </row>
    <row r="5" spans="2:26" ht="14.25" customHeight="1">
      <c r="L5" s="4"/>
      <c r="M5" s="4"/>
      <c r="N5" s="4"/>
      <c r="O5" s="4"/>
      <c r="Q5" s="5"/>
      <c r="R5" s="5"/>
      <c r="S5" s="5"/>
      <c r="T5" s="118"/>
      <c r="U5" s="119"/>
      <c r="V5" s="119"/>
      <c r="W5" s="119"/>
      <c r="X5" s="119"/>
      <c r="Y5" s="120"/>
    </row>
    <row r="6" spans="2:26" ht="14.25" customHeight="1">
      <c r="L6" s="19"/>
      <c r="M6" s="19"/>
      <c r="N6" s="19"/>
      <c r="O6" s="19"/>
      <c r="Q6" s="5"/>
      <c r="R6" s="5"/>
      <c r="S6" s="5"/>
      <c r="T6" s="118" t="s">
        <v>829</v>
      </c>
      <c r="U6" s="119"/>
      <c r="V6" s="119"/>
      <c r="W6" s="119"/>
      <c r="X6" s="119"/>
      <c r="Y6" s="120"/>
    </row>
    <row r="7" spans="2:26" ht="14.25" customHeight="1" thickBot="1">
      <c r="L7" s="19"/>
      <c r="M7" s="19"/>
      <c r="N7" s="19"/>
      <c r="O7" s="19"/>
      <c r="Q7" s="5"/>
      <c r="R7" s="5"/>
      <c r="S7" s="5"/>
      <c r="T7" s="121"/>
      <c r="U7" s="122"/>
      <c r="V7" s="122"/>
      <c r="W7" s="122"/>
      <c r="X7" s="122"/>
      <c r="Y7" s="123"/>
    </row>
    <row r="8" spans="2:26" ht="12.75" customHeight="1"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spans="2:26" ht="13.5" customHeight="1" thickBot="1"/>
    <row r="10" spans="2:26" ht="12.75" customHeight="1">
      <c r="B10" s="125" t="s">
        <v>1</v>
      </c>
      <c r="C10" s="127" t="s">
        <v>2</v>
      </c>
      <c r="D10" s="127" t="s">
        <v>35</v>
      </c>
      <c r="E10" s="127" t="s">
        <v>3</v>
      </c>
      <c r="F10" s="127" t="s">
        <v>4</v>
      </c>
      <c r="G10" s="127" t="s">
        <v>5</v>
      </c>
      <c r="H10" s="127" t="s">
        <v>6</v>
      </c>
      <c r="I10" s="127" t="s">
        <v>33</v>
      </c>
      <c r="J10" s="127" t="s">
        <v>7</v>
      </c>
      <c r="K10" s="127" t="s">
        <v>8</v>
      </c>
      <c r="L10" s="127" t="s">
        <v>34</v>
      </c>
      <c r="M10" s="127" t="s">
        <v>9</v>
      </c>
      <c r="N10" s="127" t="s">
        <v>10</v>
      </c>
      <c r="O10" s="127" t="s">
        <v>11</v>
      </c>
      <c r="P10" s="127" t="s">
        <v>12</v>
      </c>
      <c r="Q10" s="127" t="s">
        <v>13</v>
      </c>
      <c r="R10" s="127" t="s">
        <v>14</v>
      </c>
      <c r="S10" s="127" t="s">
        <v>15</v>
      </c>
      <c r="T10" s="127" t="s">
        <v>16</v>
      </c>
      <c r="U10" s="127" t="s">
        <v>17</v>
      </c>
      <c r="V10" s="127" t="s">
        <v>18</v>
      </c>
      <c r="W10" s="127" t="s">
        <v>19</v>
      </c>
      <c r="X10" s="130" t="s">
        <v>20</v>
      </c>
      <c r="Y10" s="130" t="s">
        <v>21</v>
      </c>
      <c r="Z10" s="132"/>
    </row>
    <row r="11" spans="2:26" ht="106.5" customHeight="1" thickBot="1">
      <c r="B11" s="126"/>
      <c r="C11" s="128"/>
      <c r="D11" s="128"/>
      <c r="E11" s="128"/>
      <c r="F11" s="128"/>
      <c r="G11" s="129"/>
      <c r="H11" s="128"/>
      <c r="I11" s="129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9"/>
      <c r="X11" s="131"/>
      <c r="Y11" s="131"/>
      <c r="Z11" s="132"/>
    </row>
    <row r="12" spans="2:26" ht="12.75" customHeight="1" thickBot="1">
      <c r="B12" s="79">
        <v>1</v>
      </c>
      <c r="C12" s="7">
        <v>2</v>
      </c>
      <c r="D12" s="6">
        <v>3</v>
      </c>
      <c r="E12" s="7">
        <v>4</v>
      </c>
      <c r="F12" s="6">
        <v>5</v>
      </c>
      <c r="G12" s="7">
        <v>6</v>
      </c>
      <c r="H12" s="6">
        <v>7</v>
      </c>
      <c r="I12" s="7">
        <v>8</v>
      </c>
      <c r="J12" s="6">
        <v>9</v>
      </c>
      <c r="K12" s="7">
        <v>10</v>
      </c>
      <c r="L12" s="6">
        <v>11</v>
      </c>
      <c r="M12" s="7">
        <v>12</v>
      </c>
      <c r="N12" s="6">
        <v>13</v>
      </c>
      <c r="O12" s="7">
        <v>14</v>
      </c>
      <c r="P12" s="6">
        <v>15</v>
      </c>
      <c r="Q12" s="7">
        <v>16</v>
      </c>
      <c r="R12" s="6">
        <v>17</v>
      </c>
      <c r="S12" s="7">
        <v>18</v>
      </c>
      <c r="T12" s="6">
        <v>19</v>
      </c>
      <c r="U12" s="7">
        <v>20</v>
      </c>
      <c r="V12" s="6">
        <v>21</v>
      </c>
      <c r="W12" s="7">
        <v>22</v>
      </c>
      <c r="X12" s="6">
        <v>23</v>
      </c>
      <c r="Y12" s="7">
        <v>24</v>
      </c>
    </row>
    <row r="13" spans="2:26" ht="12.75" customHeight="1">
      <c r="B13" s="80" t="s">
        <v>22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  <c r="W13" s="9"/>
      <c r="X13" s="10"/>
      <c r="Y13" s="10"/>
    </row>
    <row r="14" spans="2:26" ht="52.8">
      <c r="B14" s="20" t="s">
        <v>23</v>
      </c>
      <c r="C14" s="20" t="s">
        <v>36</v>
      </c>
      <c r="D14" s="21" t="s">
        <v>37</v>
      </c>
      <c r="E14" s="20" t="s">
        <v>38</v>
      </c>
      <c r="F14" s="20" t="s">
        <v>39</v>
      </c>
      <c r="G14" s="20"/>
      <c r="H14" s="20" t="s">
        <v>40</v>
      </c>
      <c r="I14" s="20">
        <v>0</v>
      </c>
      <c r="J14" s="22">
        <v>710000000</v>
      </c>
      <c r="K14" s="20" t="s">
        <v>41</v>
      </c>
      <c r="L14" s="20" t="s">
        <v>736</v>
      </c>
      <c r="M14" s="20" t="s">
        <v>42</v>
      </c>
      <c r="N14" s="20" t="s">
        <v>43</v>
      </c>
      <c r="O14" s="23" t="s">
        <v>301</v>
      </c>
      <c r="P14" s="20" t="s">
        <v>302</v>
      </c>
      <c r="Q14" s="20">
        <v>5111</v>
      </c>
      <c r="R14" s="20" t="s">
        <v>44</v>
      </c>
      <c r="S14" s="93">
        <v>300</v>
      </c>
      <c r="T14" s="29">
        <f>1200-(1200*12/112)</f>
        <v>1071.4285714285713</v>
      </c>
      <c r="U14" s="29">
        <v>0</v>
      </c>
      <c r="V14" s="29">
        <f t="shared" ref="V14:V16" si="0">U14+(U14*12%)</f>
        <v>0</v>
      </c>
      <c r="W14" s="25"/>
      <c r="X14" s="25">
        <v>2018</v>
      </c>
      <c r="Y14" s="62" t="s">
        <v>723</v>
      </c>
    </row>
    <row r="15" spans="2:26" ht="52.8">
      <c r="B15" s="20" t="s">
        <v>721</v>
      </c>
      <c r="C15" s="20" t="s">
        <v>36</v>
      </c>
      <c r="D15" s="21" t="s">
        <v>37</v>
      </c>
      <c r="E15" s="20" t="s">
        <v>38</v>
      </c>
      <c r="F15" s="20" t="s">
        <v>39</v>
      </c>
      <c r="G15" s="20"/>
      <c r="H15" s="20" t="s">
        <v>40</v>
      </c>
      <c r="I15" s="20">
        <v>0</v>
      </c>
      <c r="J15" s="22">
        <v>710000000</v>
      </c>
      <c r="K15" s="20" t="s">
        <v>41</v>
      </c>
      <c r="L15" s="20" t="s">
        <v>736</v>
      </c>
      <c r="M15" s="20" t="s">
        <v>42</v>
      </c>
      <c r="N15" s="20" t="s">
        <v>43</v>
      </c>
      <c r="O15" s="23" t="s">
        <v>301</v>
      </c>
      <c r="P15" s="20" t="s">
        <v>302</v>
      </c>
      <c r="Q15" s="20">
        <v>5111</v>
      </c>
      <c r="R15" s="20" t="s">
        <v>44</v>
      </c>
      <c r="S15" s="93">
        <v>100</v>
      </c>
      <c r="T15" s="29">
        <f>1200-(1200*12/112)</f>
        <v>1071.4285714285713</v>
      </c>
      <c r="U15" s="29">
        <f t="shared" ref="U15" si="1">S15*T15</f>
        <v>107142.85714285713</v>
      </c>
      <c r="V15" s="29">
        <f t="shared" ref="V15" si="2">U15+(U15*12%)</f>
        <v>119999.99999999999</v>
      </c>
      <c r="W15" s="25"/>
      <c r="X15" s="25">
        <v>2018</v>
      </c>
      <c r="Y15" s="32" t="s">
        <v>24</v>
      </c>
    </row>
    <row r="16" spans="2:26" ht="52.8">
      <c r="B16" s="20" t="s">
        <v>25</v>
      </c>
      <c r="C16" s="20" t="s">
        <v>36</v>
      </c>
      <c r="D16" s="21" t="s">
        <v>45</v>
      </c>
      <c r="E16" s="20" t="s">
        <v>38</v>
      </c>
      <c r="F16" s="20" t="s">
        <v>46</v>
      </c>
      <c r="G16" s="20"/>
      <c r="H16" s="20" t="s">
        <v>40</v>
      </c>
      <c r="I16" s="20">
        <v>0</v>
      </c>
      <c r="J16" s="22">
        <v>710000000</v>
      </c>
      <c r="K16" s="20" t="s">
        <v>41</v>
      </c>
      <c r="L16" s="20" t="s">
        <v>736</v>
      </c>
      <c r="M16" s="20" t="s">
        <v>42</v>
      </c>
      <c r="N16" s="20" t="s">
        <v>43</v>
      </c>
      <c r="O16" s="23" t="s">
        <v>301</v>
      </c>
      <c r="P16" s="20" t="s">
        <v>302</v>
      </c>
      <c r="Q16" s="20">
        <v>5111</v>
      </c>
      <c r="R16" s="20" t="s">
        <v>44</v>
      </c>
      <c r="S16" s="93">
        <v>15</v>
      </c>
      <c r="T16" s="29">
        <f>2420-(2420*12/112)</f>
        <v>2160.7142857142858</v>
      </c>
      <c r="U16" s="29">
        <v>0</v>
      </c>
      <c r="V16" s="29">
        <f t="shared" si="0"/>
        <v>0</v>
      </c>
      <c r="W16" s="25"/>
      <c r="X16" s="25">
        <v>2018</v>
      </c>
      <c r="Y16" s="62" t="s">
        <v>724</v>
      </c>
    </row>
    <row r="17" spans="2:25" ht="52.8">
      <c r="B17" s="20" t="s">
        <v>26</v>
      </c>
      <c r="C17" s="20" t="s">
        <v>36</v>
      </c>
      <c r="D17" s="20" t="s">
        <v>47</v>
      </c>
      <c r="E17" s="20" t="s">
        <v>48</v>
      </c>
      <c r="F17" s="20" t="s">
        <v>49</v>
      </c>
      <c r="G17" s="20"/>
      <c r="H17" s="20" t="s">
        <v>40</v>
      </c>
      <c r="I17" s="20">
        <v>0</v>
      </c>
      <c r="J17" s="22">
        <v>710000000</v>
      </c>
      <c r="K17" s="20" t="s">
        <v>41</v>
      </c>
      <c r="L17" s="20" t="s">
        <v>736</v>
      </c>
      <c r="M17" s="20" t="s">
        <v>42</v>
      </c>
      <c r="N17" s="20" t="s">
        <v>43</v>
      </c>
      <c r="O17" s="23" t="s">
        <v>301</v>
      </c>
      <c r="P17" s="20" t="s">
        <v>302</v>
      </c>
      <c r="Q17" s="20">
        <v>5111</v>
      </c>
      <c r="R17" s="20" t="s">
        <v>44</v>
      </c>
      <c r="S17" s="93">
        <v>10</v>
      </c>
      <c r="T17" s="29">
        <f>750-(750*12/112)</f>
        <v>669.64285714285711</v>
      </c>
      <c r="U17" s="29">
        <f t="shared" ref="U17" si="3">S17*T17</f>
        <v>6696.4285714285706</v>
      </c>
      <c r="V17" s="29">
        <f t="shared" ref="V17" si="4">U17+(U17*12%)</f>
        <v>7499.9999999999991</v>
      </c>
      <c r="W17" s="25"/>
      <c r="X17" s="25">
        <v>2018</v>
      </c>
      <c r="Y17" s="62"/>
    </row>
    <row r="18" spans="2:25" ht="52.8">
      <c r="B18" s="20" t="s">
        <v>50</v>
      </c>
      <c r="C18" s="20" t="s">
        <v>36</v>
      </c>
      <c r="D18" s="20" t="s">
        <v>51</v>
      </c>
      <c r="E18" s="20" t="s">
        <v>52</v>
      </c>
      <c r="F18" s="20" t="s">
        <v>53</v>
      </c>
      <c r="G18" s="20"/>
      <c r="H18" s="20" t="s">
        <v>40</v>
      </c>
      <c r="I18" s="20">
        <v>0</v>
      </c>
      <c r="J18" s="22">
        <v>710000000</v>
      </c>
      <c r="K18" s="20" t="s">
        <v>41</v>
      </c>
      <c r="L18" s="20" t="s">
        <v>736</v>
      </c>
      <c r="M18" s="20" t="s">
        <v>42</v>
      </c>
      <c r="N18" s="20" t="s">
        <v>43</v>
      </c>
      <c r="O18" s="23" t="s">
        <v>301</v>
      </c>
      <c r="P18" s="20" t="s">
        <v>302</v>
      </c>
      <c r="Q18" s="20">
        <v>796</v>
      </c>
      <c r="R18" s="20" t="s">
        <v>54</v>
      </c>
      <c r="S18" s="93">
        <v>7</v>
      </c>
      <c r="T18" s="29">
        <f>5740-(5740*12/112)</f>
        <v>5125</v>
      </c>
      <c r="U18" s="29">
        <f t="shared" ref="U18" si="5">S18*T18</f>
        <v>35875</v>
      </c>
      <c r="V18" s="29">
        <f t="shared" ref="V18" si="6">U18+(U18*12%)</f>
        <v>40180</v>
      </c>
      <c r="W18" s="25"/>
      <c r="X18" s="25">
        <v>2018</v>
      </c>
      <c r="Y18" s="62"/>
    </row>
    <row r="19" spans="2:25" ht="52.8">
      <c r="B19" s="20" t="s">
        <v>55</v>
      </c>
      <c r="C19" s="20" t="s">
        <v>36</v>
      </c>
      <c r="D19" s="20" t="s">
        <v>56</v>
      </c>
      <c r="E19" s="20" t="s">
        <v>57</v>
      </c>
      <c r="F19" s="20" t="s">
        <v>58</v>
      </c>
      <c r="G19" s="20"/>
      <c r="H19" s="20" t="s">
        <v>40</v>
      </c>
      <c r="I19" s="20">
        <v>0</v>
      </c>
      <c r="J19" s="22">
        <v>710000000</v>
      </c>
      <c r="K19" s="20" t="s">
        <v>41</v>
      </c>
      <c r="L19" s="20" t="s">
        <v>736</v>
      </c>
      <c r="M19" s="20" t="s">
        <v>42</v>
      </c>
      <c r="N19" s="20" t="s">
        <v>43</v>
      </c>
      <c r="O19" s="23" t="s">
        <v>301</v>
      </c>
      <c r="P19" s="20" t="s">
        <v>302</v>
      </c>
      <c r="Q19" s="20">
        <v>796</v>
      </c>
      <c r="R19" s="20" t="s">
        <v>54</v>
      </c>
      <c r="S19" s="93">
        <v>1</v>
      </c>
      <c r="T19" s="24">
        <v>295</v>
      </c>
      <c r="U19" s="24">
        <v>0</v>
      </c>
      <c r="V19" s="24">
        <f t="shared" ref="V19:V100" si="7">U19+(U19*12%)</f>
        <v>0</v>
      </c>
      <c r="W19" s="25"/>
      <c r="X19" s="25">
        <v>2018</v>
      </c>
      <c r="Y19" s="62" t="s">
        <v>724</v>
      </c>
    </row>
    <row r="20" spans="2:25" ht="52.8">
      <c r="B20" s="20" t="s">
        <v>59</v>
      </c>
      <c r="C20" s="20" t="s">
        <v>36</v>
      </c>
      <c r="D20" s="20" t="s">
        <v>56</v>
      </c>
      <c r="E20" s="20" t="s">
        <v>57</v>
      </c>
      <c r="F20" s="20" t="s">
        <v>60</v>
      </c>
      <c r="G20" s="20"/>
      <c r="H20" s="20" t="s">
        <v>40</v>
      </c>
      <c r="I20" s="20">
        <v>0</v>
      </c>
      <c r="J20" s="22">
        <v>710000000</v>
      </c>
      <c r="K20" s="20" t="s">
        <v>41</v>
      </c>
      <c r="L20" s="20" t="s">
        <v>736</v>
      </c>
      <c r="M20" s="20" t="s">
        <v>42</v>
      </c>
      <c r="N20" s="20" t="s">
        <v>43</v>
      </c>
      <c r="O20" s="23" t="s">
        <v>301</v>
      </c>
      <c r="P20" s="20" t="s">
        <v>302</v>
      </c>
      <c r="Q20" s="20">
        <v>796</v>
      </c>
      <c r="R20" s="20" t="s">
        <v>54</v>
      </c>
      <c r="S20" s="93">
        <v>1</v>
      </c>
      <c r="T20" s="24">
        <v>295</v>
      </c>
      <c r="U20" s="24">
        <v>0</v>
      </c>
      <c r="V20" s="24">
        <f t="shared" si="7"/>
        <v>0</v>
      </c>
      <c r="W20" s="25"/>
      <c r="X20" s="25">
        <v>2018</v>
      </c>
      <c r="Y20" s="62" t="s">
        <v>724</v>
      </c>
    </row>
    <row r="21" spans="2:25" ht="52.8">
      <c r="B21" s="20" t="s">
        <v>61</v>
      </c>
      <c r="C21" s="20" t="s">
        <v>36</v>
      </c>
      <c r="D21" s="20" t="s">
        <v>56</v>
      </c>
      <c r="E21" s="20" t="s">
        <v>57</v>
      </c>
      <c r="F21" s="20" t="s">
        <v>62</v>
      </c>
      <c r="G21" s="20"/>
      <c r="H21" s="20" t="s">
        <v>40</v>
      </c>
      <c r="I21" s="20">
        <v>0</v>
      </c>
      <c r="J21" s="22">
        <v>710000000</v>
      </c>
      <c r="K21" s="20" t="s">
        <v>41</v>
      </c>
      <c r="L21" s="20" t="s">
        <v>736</v>
      </c>
      <c r="M21" s="20" t="s">
        <v>42</v>
      </c>
      <c r="N21" s="20" t="s">
        <v>43</v>
      </c>
      <c r="O21" s="23" t="s">
        <v>301</v>
      </c>
      <c r="P21" s="20" t="s">
        <v>302</v>
      </c>
      <c r="Q21" s="20">
        <v>796</v>
      </c>
      <c r="R21" s="20" t="s">
        <v>54</v>
      </c>
      <c r="S21" s="93">
        <v>1</v>
      </c>
      <c r="T21" s="24">
        <v>401.78</v>
      </c>
      <c r="U21" s="24">
        <v>0</v>
      </c>
      <c r="V21" s="24">
        <f t="shared" si="7"/>
        <v>0</v>
      </c>
      <c r="W21" s="25"/>
      <c r="X21" s="25">
        <v>2018</v>
      </c>
      <c r="Y21" s="62" t="s">
        <v>724</v>
      </c>
    </row>
    <row r="22" spans="2:25" ht="52.8">
      <c r="B22" s="20" t="s">
        <v>63</v>
      </c>
      <c r="C22" s="20" t="s">
        <v>36</v>
      </c>
      <c r="D22" s="20" t="s">
        <v>56</v>
      </c>
      <c r="E22" s="20" t="s">
        <v>57</v>
      </c>
      <c r="F22" s="20" t="s">
        <v>64</v>
      </c>
      <c r="G22" s="20"/>
      <c r="H22" s="20" t="s">
        <v>40</v>
      </c>
      <c r="I22" s="20">
        <v>0</v>
      </c>
      <c r="J22" s="22">
        <v>710000000</v>
      </c>
      <c r="K22" s="20" t="s">
        <v>41</v>
      </c>
      <c r="L22" s="20" t="s">
        <v>736</v>
      </c>
      <c r="M22" s="20" t="s">
        <v>42</v>
      </c>
      <c r="N22" s="20" t="s">
        <v>43</v>
      </c>
      <c r="O22" s="23" t="s">
        <v>301</v>
      </c>
      <c r="P22" s="20" t="s">
        <v>302</v>
      </c>
      <c r="Q22" s="20">
        <v>796</v>
      </c>
      <c r="R22" s="20" t="s">
        <v>54</v>
      </c>
      <c r="S22" s="93">
        <v>1</v>
      </c>
      <c r="T22" s="24">
        <v>401.78</v>
      </c>
      <c r="U22" s="24">
        <v>0</v>
      </c>
      <c r="V22" s="24">
        <f t="shared" si="7"/>
        <v>0</v>
      </c>
      <c r="W22" s="25"/>
      <c r="X22" s="25">
        <v>2018</v>
      </c>
      <c r="Y22" s="62" t="s">
        <v>724</v>
      </c>
    </row>
    <row r="23" spans="2:25" ht="52.8">
      <c r="B23" s="20" t="s">
        <v>65</v>
      </c>
      <c r="C23" s="20" t="s">
        <v>36</v>
      </c>
      <c r="D23" s="20" t="s">
        <v>56</v>
      </c>
      <c r="E23" s="20" t="s">
        <v>57</v>
      </c>
      <c r="F23" s="20" t="s">
        <v>66</v>
      </c>
      <c r="G23" s="20"/>
      <c r="H23" s="20" t="s">
        <v>40</v>
      </c>
      <c r="I23" s="20">
        <v>0</v>
      </c>
      <c r="J23" s="22">
        <v>710000000</v>
      </c>
      <c r="K23" s="20" t="s">
        <v>41</v>
      </c>
      <c r="L23" s="20" t="s">
        <v>736</v>
      </c>
      <c r="M23" s="20" t="s">
        <v>42</v>
      </c>
      <c r="N23" s="20" t="s">
        <v>43</v>
      </c>
      <c r="O23" s="23" t="s">
        <v>301</v>
      </c>
      <c r="P23" s="20" t="s">
        <v>302</v>
      </c>
      <c r="Q23" s="20">
        <v>796</v>
      </c>
      <c r="R23" s="20" t="s">
        <v>54</v>
      </c>
      <c r="S23" s="93">
        <v>1</v>
      </c>
      <c r="T23" s="24">
        <v>401.78</v>
      </c>
      <c r="U23" s="24">
        <v>0</v>
      </c>
      <c r="V23" s="24">
        <f t="shared" si="7"/>
        <v>0</v>
      </c>
      <c r="W23" s="25"/>
      <c r="X23" s="25">
        <v>2018</v>
      </c>
      <c r="Y23" s="62" t="s">
        <v>724</v>
      </c>
    </row>
    <row r="24" spans="2:25" ht="52.8">
      <c r="B24" s="20" t="s">
        <v>67</v>
      </c>
      <c r="C24" s="20" t="s">
        <v>36</v>
      </c>
      <c r="D24" s="20" t="s">
        <v>56</v>
      </c>
      <c r="E24" s="20" t="s">
        <v>57</v>
      </c>
      <c r="F24" s="20" t="s">
        <v>68</v>
      </c>
      <c r="G24" s="20"/>
      <c r="H24" s="20" t="s">
        <v>40</v>
      </c>
      <c r="I24" s="20">
        <v>0</v>
      </c>
      <c r="J24" s="22">
        <v>710000000</v>
      </c>
      <c r="K24" s="20" t="s">
        <v>41</v>
      </c>
      <c r="L24" s="20" t="s">
        <v>736</v>
      </c>
      <c r="M24" s="20" t="s">
        <v>42</v>
      </c>
      <c r="N24" s="20" t="s">
        <v>43</v>
      </c>
      <c r="O24" s="23" t="s">
        <v>301</v>
      </c>
      <c r="P24" s="20" t="s">
        <v>302</v>
      </c>
      <c r="Q24" s="20">
        <v>796</v>
      </c>
      <c r="R24" s="20" t="s">
        <v>54</v>
      </c>
      <c r="S24" s="93">
        <v>1</v>
      </c>
      <c r="T24" s="29">
        <f>450-(450*12/112)</f>
        <v>401.78571428571428</v>
      </c>
      <c r="U24" s="29">
        <f t="shared" ref="U24" si="8">S24*T24</f>
        <v>401.78571428571428</v>
      </c>
      <c r="V24" s="29">
        <f t="shared" si="7"/>
        <v>450</v>
      </c>
      <c r="W24" s="25"/>
      <c r="X24" s="25">
        <v>2018</v>
      </c>
      <c r="Y24" s="62"/>
    </row>
    <row r="25" spans="2:25" ht="52.8">
      <c r="B25" s="20" t="s">
        <v>69</v>
      </c>
      <c r="C25" s="20" t="s">
        <v>36</v>
      </c>
      <c r="D25" s="20" t="s">
        <v>70</v>
      </c>
      <c r="E25" s="20" t="s">
        <v>71</v>
      </c>
      <c r="F25" s="20" t="s">
        <v>72</v>
      </c>
      <c r="G25" s="20"/>
      <c r="H25" s="20" t="s">
        <v>40</v>
      </c>
      <c r="I25" s="20">
        <v>0</v>
      </c>
      <c r="J25" s="22">
        <v>710000000</v>
      </c>
      <c r="K25" s="20" t="s">
        <v>41</v>
      </c>
      <c r="L25" s="20" t="s">
        <v>736</v>
      </c>
      <c r="M25" s="20" t="s">
        <v>42</v>
      </c>
      <c r="N25" s="20" t="s">
        <v>43</v>
      </c>
      <c r="O25" s="23" t="s">
        <v>301</v>
      </c>
      <c r="P25" s="20" t="s">
        <v>302</v>
      </c>
      <c r="Q25" s="20">
        <v>796</v>
      </c>
      <c r="R25" s="20" t="s">
        <v>54</v>
      </c>
      <c r="S25" s="93">
        <v>1</v>
      </c>
      <c r="T25" s="29">
        <f>400-(400*12/112)</f>
        <v>357.14285714285717</v>
      </c>
      <c r="U25" s="29">
        <f t="shared" ref="U25" si="9">S25*T25</f>
        <v>357.14285714285717</v>
      </c>
      <c r="V25" s="29">
        <f t="shared" ref="V25" si="10">U25+(U25*12%)</f>
        <v>400</v>
      </c>
      <c r="W25" s="25"/>
      <c r="X25" s="25">
        <v>2018</v>
      </c>
      <c r="Y25" s="62"/>
    </row>
    <row r="26" spans="2:25" ht="52.8">
      <c r="B26" s="20" t="s">
        <v>73</v>
      </c>
      <c r="C26" s="20" t="s">
        <v>36</v>
      </c>
      <c r="D26" s="20" t="s">
        <v>74</v>
      </c>
      <c r="E26" s="20" t="s">
        <v>75</v>
      </c>
      <c r="F26" s="20" t="s">
        <v>76</v>
      </c>
      <c r="G26" s="20"/>
      <c r="H26" s="20" t="s">
        <v>40</v>
      </c>
      <c r="I26" s="20">
        <v>0</v>
      </c>
      <c r="J26" s="22">
        <v>710000000</v>
      </c>
      <c r="K26" s="20" t="s">
        <v>41</v>
      </c>
      <c r="L26" s="20" t="s">
        <v>736</v>
      </c>
      <c r="M26" s="20" t="s">
        <v>42</v>
      </c>
      <c r="N26" s="20" t="s">
        <v>43</v>
      </c>
      <c r="O26" s="23" t="s">
        <v>301</v>
      </c>
      <c r="P26" s="20" t="s">
        <v>302</v>
      </c>
      <c r="Q26" s="20">
        <v>778</v>
      </c>
      <c r="R26" s="20" t="s">
        <v>77</v>
      </c>
      <c r="S26" s="93">
        <v>14</v>
      </c>
      <c r="T26" s="29">
        <f>650-(650*12/112)</f>
        <v>580.35714285714289</v>
      </c>
      <c r="U26" s="29">
        <f t="shared" ref="U26" si="11">S26*T26</f>
        <v>8125</v>
      </c>
      <c r="V26" s="29">
        <f t="shared" ref="V26" si="12">U26+(U26*12%)</f>
        <v>9100</v>
      </c>
      <c r="W26" s="25"/>
      <c r="X26" s="25">
        <v>2018</v>
      </c>
      <c r="Y26" s="62"/>
    </row>
    <row r="27" spans="2:25" ht="52.8">
      <c r="B27" s="20" t="s">
        <v>78</v>
      </c>
      <c r="C27" s="20" t="s">
        <v>36</v>
      </c>
      <c r="D27" s="20" t="s">
        <v>74</v>
      </c>
      <c r="E27" s="20" t="s">
        <v>75</v>
      </c>
      <c r="F27" s="20" t="s">
        <v>79</v>
      </c>
      <c r="G27" s="20"/>
      <c r="H27" s="20" t="s">
        <v>40</v>
      </c>
      <c r="I27" s="20">
        <v>0</v>
      </c>
      <c r="J27" s="22">
        <v>710000000</v>
      </c>
      <c r="K27" s="20" t="s">
        <v>41</v>
      </c>
      <c r="L27" s="20" t="s">
        <v>736</v>
      </c>
      <c r="M27" s="20" t="s">
        <v>42</v>
      </c>
      <c r="N27" s="20" t="s">
        <v>43</v>
      </c>
      <c r="O27" s="23" t="s">
        <v>301</v>
      </c>
      <c r="P27" s="20" t="s">
        <v>302</v>
      </c>
      <c r="Q27" s="20">
        <v>778</v>
      </c>
      <c r="R27" s="20" t="s">
        <v>77</v>
      </c>
      <c r="S27" s="93">
        <v>14</v>
      </c>
      <c r="T27" s="29">
        <f>928-(928*12/112)</f>
        <v>828.57142857142856</v>
      </c>
      <c r="U27" s="29">
        <f t="shared" ref="U27" si="13">S27*T27</f>
        <v>11600</v>
      </c>
      <c r="V27" s="29">
        <f t="shared" ref="V27" si="14">U27+(U27*12%)</f>
        <v>12992</v>
      </c>
      <c r="W27" s="25"/>
      <c r="X27" s="25">
        <v>2018</v>
      </c>
      <c r="Y27" s="62"/>
    </row>
    <row r="28" spans="2:25" ht="118.8">
      <c r="B28" s="20" t="s">
        <v>80</v>
      </c>
      <c r="C28" s="20" t="s">
        <v>36</v>
      </c>
      <c r="D28" s="20" t="s">
        <v>81</v>
      </c>
      <c r="E28" s="20" t="s">
        <v>82</v>
      </c>
      <c r="F28" s="20" t="s">
        <v>83</v>
      </c>
      <c r="G28" s="20" t="s">
        <v>84</v>
      </c>
      <c r="H28" s="20" t="s">
        <v>40</v>
      </c>
      <c r="I28" s="20">
        <v>0</v>
      </c>
      <c r="J28" s="22">
        <v>710000000</v>
      </c>
      <c r="K28" s="20" t="s">
        <v>41</v>
      </c>
      <c r="L28" s="20" t="s">
        <v>736</v>
      </c>
      <c r="M28" s="20" t="s">
        <v>42</v>
      </c>
      <c r="N28" s="20" t="s">
        <v>43</v>
      </c>
      <c r="O28" s="23" t="s">
        <v>301</v>
      </c>
      <c r="P28" s="20" t="s">
        <v>302</v>
      </c>
      <c r="Q28" s="20">
        <v>796</v>
      </c>
      <c r="R28" s="20" t="s">
        <v>54</v>
      </c>
      <c r="S28" s="93">
        <v>10</v>
      </c>
      <c r="T28" s="29">
        <f>6220-(6220*12/112)</f>
        <v>5553.5714285714284</v>
      </c>
      <c r="U28" s="24">
        <v>0</v>
      </c>
      <c r="V28" s="24">
        <f t="shared" si="7"/>
        <v>0</v>
      </c>
      <c r="W28" s="25"/>
      <c r="X28" s="25">
        <v>2018</v>
      </c>
      <c r="Y28" s="62" t="s">
        <v>723</v>
      </c>
    </row>
    <row r="29" spans="2:25" ht="118.8">
      <c r="B29" s="20" t="s">
        <v>725</v>
      </c>
      <c r="C29" s="20" t="s">
        <v>36</v>
      </c>
      <c r="D29" s="20" t="s">
        <v>81</v>
      </c>
      <c r="E29" s="20" t="s">
        <v>82</v>
      </c>
      <c r="F29" s="20" t="s">
        <v>83</v>
      </c>
      <c r="G29" s="20" t="s">
        <v>84</v>
      </c>
      <c r="H29" s="20" t="s">
        <v>40</v>
      </c>
      <c r="I29" s="20">
        <v>0</v>
      </c>
      <c r="J29" s="22">
        <v>710000000</v>
      </c>
      <c r="K29" s="20" t="s">
        <v>41</v>
      </c>
      <c r="L29" s="20" t="s">
        <v>736</v>
      </c>
      <c r="M29" s="20" t="s">
        <v>42</v>
      </c>
      <c r="N29" s="20" t="s">
        <v>43</v>
      </c>
      <c r="O29" s="23" t="s">
        <v>301</v>
      </c>
      <c r="P29" s="20" t="s">
        <v>302</v>
      </c>
      <c r="Q29" s="20">
        <v>796</v>
      </c>
      <c r="R29" s="20" t="s">
        <v>54</v>
      </c>
      <c r="S29" s="93">
        <v>5</v>
      </c>
      <c r="T29" s="29">
        <f>6220-(6220*12/112)</f>
        <v>5553.5714285714284</v>
      </c>
      <c r="U29" s="29">
        <f t="shared" ref="U29" si="15">S29*T29</f>
        <v>27767.857142857141</v>
      </c>
      <c r="V29" s="29">
        <f t="shared" si="7"/>
        <v>31100</v>
      </c>
      <c r="W29" s="25"/>
      <c r="X29" s="25">
        <v>2018</v>
      </c>
      <c r="Y29" s="62"/>
    </row>
    <row r="30" spans="2:25" ht="52.8">
      <c r="B30" s="20" t="s">
        <v>85</v>
      </c>
      <c r="C30" s="20" t="s">
        <v>36</v>
      </c>
      <c r="D30" s="20" t="s">
        <v>86</v>
      </c>
      <c r="E30" s="20" t="s">
        <v>87</v>
      </c>
      <c r="F30" s="20" t="s">
        <v>88</v>
      </c>
      <c r="G30" s="20"/>
      <c r="H30" s="20" t="s">
        <v>40</v>
      </c>
      <c r="I30" s="20">
        <v>0</v>
      </c>
      <c r="J30" s="22">
        <v>710000000</v>
      </c>
      <c r="K30" s="20" t="s">
        <v>41</v>
      </c>
      <c r="L30" s="20" t="s">
        <v>736</v>
      </c>
      <c r="M30" s="20" t="s">
        <v>42</v>
      </c>
      <c r="N30" s="20" t="s">
        <v>43</v>
      </c>
      <c r="O30" s="23" t="s">
        <v>301</v>
      </c>
      <c r="P30" s="20" t="s">
        <v>302</v>
      </c>
      <c r="Q30" s="20">
        <v>796</v>
      </c>
      <c r="R30" s="20" t="s">
        <v>54</v>
      </c>
      <c r="S30" s="93">
        <v>14</v>
      </c>
      <c r="T30" s="29">
        <f>235-(235*12/112)</f>
        <v>209.82142857142858</v>
      </c>
      <c r="U30" s="29">
        <f t="shared" ref="U30" si="16">S30*T30</f>
        <v>2937.5</v>
      </c>
      <c r="V30" s="29">
        <f t="shared" ref="V30" si="17">U30+(U30*12%)</f>
        <v>3290</v>
      </c>
      <c r="W30" s="25"/>
      <c r="X30" s="25">
        <v>2018</v>
      </c>
      <c r="Y30" s="62"/>
    </row>
    <row r="31" spans="2:25" ht="52.8">
      <c r="B31" s="20" t="s">
        <v>89</v>
      </c>
      <c r="C31" s="20" t="s">
        <v>36</v>
      </c>
      <c r="D31" s="20" t="s">
        <v>90</v>
      </c>
      <c r="E31" s="20" t="s">
        <v>91</v>
      </c>
      <c r="F31" s="20" t="s">
        <v>92</v>
      </c>
      <c r="G31" s="20"/>
      <c r="H31" s="20" t="s">
        <v>40</v>
      </c>
      <c r="I31" s="20">
        <v>0</v>
      </c>
      <c r="J31" s="22">
        <v>710000000</v>
      </c>
      <c r="K31" s="20" t="s">
        <v>41</v>
      </c>
      <c r="L31" s="20" t="s">
        <v>736</v>
      </c>
      <c r="M31" s="20" t="s">
        <v>42</v>
      </c>
      <c r="N31" s="20" t="s">
        <v>43</v>
      </c>
      <c r="O31" s="23" t="s">
        <v>301</v>
      </c>
      <c r="P31" s="20" t="s">
        <v>302</v>
      </c>
      <c r="Q31" s="20">
        <v>796</v>
      </c>
      <c r="R31" s="20" t="s">
        <v>54</v>
      </c>
      <c r="S31" s="93">
        <v>40</v>
      </c>
      <c r="T31" s="29">
        <f>45-(45*12/112)</f>
        <v>40.178571428571431</v>
      </c>
      <c r="U31" s="24">
        <v>0</v>
      </c>
      <c r="V31" s="24">
        <f t="shared" si="7"/>
        <v>0</v>
      </c>
      <c r="W31" s="25"/>
      <c r="X31" s="25">
        <v>2018</v>
      </c>
      <c r="Y31" s="62" t="s">
        <v>723</v>
      </c>
    </row>
    <row r="32" spans="2:25" ht="52.8">
      <c r="B32" s="20" t="s">
        <v>726</v>
      </c>
      <c r="C32" s="20" t="s">
        <v>36</v>
      </c>
      <c r="D32" s="20" t="s">
        <v>90</v>
      </c>
      <c r="E32" s="20" t="s">
        <v>91</v>
      </c>
      <c r="F32" s="20" t="s">
        <v>92</v>
      </c>
      <c r="G32" s="20"/>
      <c r="H32" s="20" t="s">
        <v>40</v>
      </c>
      <c r="I32" s="20">
        <v>0</v>
      </c>
      <c r="J32" s="22">
        <v>710000000</v>
      </c>
      <c r="K32" s="20" t="s">
        <v>41</v>
      </c>
      <c r="L32" s="20" t="s">
        <v>736</v>
      </c>
      <c r="M32" s="20" t="s">
        <v>42</v>
      </c>
      <c r="N32" s="20" t="s">
        <v>43</v>
      </c>
      <c r="O32" s="23" t="s">
        <v>301</v>
      </c>
      <c r="P32" s="20" t="s">
        <v>302</v>
      </c>
      <c r="Q32" s="20">
        <v>796</v>
      </c>
      <c r="R32" s="20" t="s">
        <v>54</v>
      </c>
      <c r="S32" s="93">
        <v>20</v>
      </c>
      <c r="T32" s="29">
        <f>45-(45*12/112)</f>
        <v>40.178571428571431</v>
      </c>
      <c r="U32" s="29">
        <f t="shared" ref="U32" si="18">S32*T32</f>
        <v>803.57142857142867</v>
      </c>
      <c r="V32" s="29">
        <f t="shared" ref="V32" si="19">U32+(U32*12%)</f>
        <v>900.00000000000011</v>
      </c>
      <c r="W32" s="25"/>
      <c r="X32" s="25">
        <v>2018</v>
      </c>
      <c r="Y32" s="62"/>
    </row>
    <row r="33" spans="2:25" ht="52.8">
      <c r="B33" s="20" t="s">
        <v>93</v>
      </c>
      <c r="C33" s="20" t="s">
        <v>36</v>
      </c>
      <c r="D33" s="20" t="s">
        <v>94</v>
      </c>
      <c r="E33" s="20" t="s">
        <v>95</v>
      </c>
      <c r="F33" s="20" t="s">
        <v>96</v>
      </c>
      <c r="G33" s="20"/>
      <c r="H33" s="20" t="s">
        <v>40</v>
      </c>
      <c r="I33" s="20">
        <v>0</v>
      </c>
      <c r="J33" s="22">
        <v>710000000</v>
      </c>
      <c r="K33" s="20" t="s">
        <v>41</v>
      </c>
      <c r="L33" s="20" t="s">
        <v>736</v>
      </c>
      <c r="M33" s="20" t="s">
        <v>42</v>
      </c>
      <c r="N33" s="20" t="s">
        <v>43</v>
      </c>
      <c r="O33" s="23" t="s">
        <v>301</v>
      </c>
      <c r="P33" s="20" t="s">
        <v>302</v>
      </c>
      <c r="Q33" s="20">
        <v>796</v>
      </c>
      <c r="R33" s="20" t="s">
        <v>54</v>
      </c>
      <c r="S33" s="93">
        <v>14</v>
      </c>
      <c r="T33" s="29">
        <f>155-(155*12/112)</f>
        <v>138.39285714285714</v>
      </c>
      <c r="U33" s="29">
        <f t="shared" ref="U33" si="20">S33*T33</f>
        <v>1937.5</v>
      </c>
      <c r="V33" s="29">
        <f t="shared" ref="V33" si="21">U33+(U33*12%)</f>
        <v>2170</v>
      </c>
      <c r="W33" s="25"/>
      <c r="X33" s="25">
        <v>2018</v>
      </c>
      <c r="Y33" s="62"/>
    </row>
    <row r="34" spans="2:25" ht="52.8">
      <c r="B34" s="20" t="s">
        <v>97</v>
      </c>
      <c r="C34" s="20" t="s">
        <v>36</v>
      </c>
      <c r="D34" s="20" t="s">
        <v>98</v>
      </c>
      <c r="E34" s="20" t="s">
        <v>99</v>
      </c>
      <c r="F34" s="20" t="s">
        <v>100</v>
      </c>
      <c r="G34" s="20"/>
      <c r="H34" s="20" t="s">
        <v>40</v>
      </c>
      <c r="I34" s="20">
        <v>0</v>
      </c>
      <c r="J34" s="22">
        <v>710000000</v>
      </c>
      <c r="K34" s="20" t="s">
        <v>41</v>
      </c>
      <c r="L34" s="20" t="s">
        <v>736</v>
      </c>
      <c r="M34" s="20" t="s">
        <v>42</v>
      </c>
      <c r="N34" s="20" t="s">
        <v>43</v>
      </c>
      <c r="O34" s="23" t="s">
        <v>301</v>
      </c>
      <c r="P34" s="20" t="s">
        <v>302</v>
      </c>
      <c r="Q34" s="20">
        <v>796</v>
      </c>
      <c r="R34" s="20" t="s">
        <v>54</v>
      </c>
      <c r="S34" s="93">
        <v>14</v>
      </c>
      <c r="T34" s="29">
        <f>110-(110*12/112)</f>
        <v>98.214285714285708</v>
      </c>
      <c r="U34" s="29">
        <f t="shared" ref="U34" si="22">S34*T34</f>
        <v>1375</v>
      </c>
      <c r="V34" s="29">
        <f t="shared" ref="V34" si="23">U34+(U34*12%)</f>
        <v>1540</v>
      </c>
      <c r="W34" s="25"/>
      <c r="X34" s="25">
        <v>2018</v>
      </c>
      <c r="Y34" s="62"/>
    </row>
    <row r="35" spans="2:25" ht="52.8">
      <c r="B35" s="20" t="s">
        <v>101</v>
      </c>
      <c r="C35" s="20" t="s">
        <v>36</v>
      </c>
      <c r="D35" s="20" t="s">
        <v>102</v>
      </c>
      <c r="E35" s="20" t="s">
        <v>103</v>
      </c>
      <c r="F35" s="20" t="s">
        <v>104</v>
      </c>
      <c r="G35" s="20"/>
      <c r="H35" s="20" t="s">
        <v>40</v>
      </c>
      <c r="I35" s="20">
        <v>0</v>
      </c>
      <c r="J35" s="22">
        <v>710000000</v>
      </c>
      <c r="K35" s="20" t="s">
        <v>41</v>
      </c>
      <c r="L35" s="20" t="s">
        <v>736</v>
      </c>
      <c r="M35" s="20" t="s">
        <v>42</v>
      </c>
      <c r="N35" s="20" t="s">
        <v>43</v>
      </c>
      <c r="O35" s="23" t="s">
        <v>301</v>
      </c>
      <c r="P35" s="20" t="s">
        <v>302</v>
      </c>
      <c r="Q35" s="20">
        <v>778</v>
      </c>
      <c r="R35" s="20" t="s">
        <v>77</v>
      </c>
      <c r="S35" s="93">
        <v>7</v>
      </c>
      <c r="T35" s="29">
        <f>1120-(1120*12/112)</f>
        <v>1000</v>
      </c>
      <c r="U35" s="24">
        <v>0</v>
      </c>
      <c r="V35" s="24">
        <f t="shared" si="7"/>
        <v>0</v>
      </c>
      <c r="W35" s="25"/>
      <c r="X35" s="25">
        <v>2018</v>
      </c>
      <c r="Y35" s="62" t="s">
        <v>723</v>
      </c>
    </row>
    <row r="36" spans="2:25" ht="52.8">
      <c r="B36" s="20" t="s">
        <v>727</v>
      </c>
      <c r="C36" s="20" t="s">
        <v>36</v>
      </c>
      <c r="D36" s="20" t="s">
        <v>102</v>
      </c>
      <c r="E36" s="20" t="s">
        <v>103</v>
      </c>
      <c r="F36" s="20" t="s">
        <v>104</v>
      </c>
      <c r="G36" s="20"/>
      <c r="H36" s="20" t="s">
        <v>40</v>
      </c>
      <c r="I36" s="20">
        <v>0</v>
      </c>
      <c r="J36" s="22">
        <v>710000000</v>
      </c>
      <c r="K36" s="20" t="s">
        <v>41</v>
      </c>
      <c r="L36" s="20" t="s">
        <v>736</v>
      </c>
      <c r="M36" s="20" t="s">
        <v>42</v>
      </c>
      <c r="N36" s="20" t="s">
        <v>43</v>
      </c>
      <c r="O36" s="23" t="s">
        <v>301</v>
      </c>
      <c r="P36" s="20" t="s">
        <v>302</v>
      </c>
      <c r="Q36" s="20">
        <v>778</v>
      </c>
      <c r="R36" s="20" t="s">
        <v>77</v>
      </c>
      <c r="S36" s="93">
        <v>5</v>
      </c>
      <c r="T36" s="29">
        <f>1120-(1120*12/112)</f>
        <v>1000</v>
      </c>
      <c r="U36" s="29">
        <f t="shared" ref="U36" si="24">S36*T36</f>
        <v>5000</v>
      </c>
      <c r="V36" s="29">
        <f t="shared" si="7"/>
        <v>5600</v>
      </c>
      <c r="W36" s="25"/>
      <c r="X36" s="25">
        <v>2018</v>
      </c>
      <c r="Y36" s="62"/>
    </row>
    <row r="37" spans="2:25" ht="52.8">
      <c r="B37" s="20" t="s">
        <v>105</v>
      </c>
      <c r="C37" s="20" t="s">
        <v>36</v>
      </c>
      <c r="D37" s="20" t="s">
        <v>106</v>
      </c>
      <c r="E37" s="20" t="s">
        <v>107</v>
      </c>
      <c r="F37" s="20" t="s">
        <v>108</v>
      </c>
      <c r="G37" s="20"/>
      <c r="H37" s="20" t="s">
        <v>40</v>
      </c>
      <c r="I37" s="20">
        <v>0</v>
      </c>
      <c r="J37" s="22">
        <v>710000000</v>
      </c>
      <c r="K37" s="20" t="s">
        <v>41</v>
      </c>
      <c r="L37" s="20" t="s">
        <v>736</v>
      </c>
      <c r="M37" s="20" t="s">
        <v>42</v>
      </c>
      <c r="N37" s="20" t="s">
        <v>43</v>
      </c>
      <c r="O37" s="23" t="s">
        <v>301</v>
      </c>
      <c r="P37" s="20" t="s">
        <v>302</v>
      </c>
      <c r="Q37" s="20">
        <v>796</v>
      </c>
      <c r="R37" s="20" t="s">
        <v>54</v>
      </c>
      <c r="S37" s="93">
        <v>50</v>
      </c>
      <c r="T37" s="29">
        <f>210-(210*12/112)</f>
        <v>187.5</v>
      </c>
      <c r="U37" s="29">
        <f t="shared" ref="U37" si="25">S37*T37</f>
        <v>9375</v>
      </c>
      <c r="V37" s="24">
        <f t="shared" si="7"/>
        <v>10500</v>
      </c>
      <c r="W37" s="25"/>
      <c r="X37" s="25">
        <v>2018</v>
      </c>
      <c r="Y37" s="62"/>
    </row>
    <row r="38" spans="2:25" ht="52.8">
      <c r="B38" s="20" t="s">
        <v>109</v>
      </c>
      <c r="C38" s="20" t="s">
        <v>36</v>
      </c>
      <c r="D38" s="20" t="s">
        <v>106</v>
      </c>
      <c r="E38" s="20" t="s">
        <v>107</v>
      </c>
      <c r="F38" s="20" t="s">
        <v>108</v>
      </c>
      <c r="G38" s="20"/>
      <c r="H38" s="20" t="s">
        <v>40</v>
      </c>
      <c r="I38" s="20">
        <v>0</v>
      </c>
      <c r="J38" s="22">
        <v>710000000</v>
      </c>
      <c r="K38" s="20" t="s">
        <v>41</v>
      </c>
      <c r="L38" s="20" t="s">
        <v>736</v>
      </c>
      <c r="M38" s="20" t="s">
        <v>42</v>
      </c>
      <c r="N38" s="20" t="s">
        <v>43</v>
      </c>
      <c r="O38" s="23" t="s">
        <v>301</v>
      </c>
      <c r="P38" s="20" t="s">
        <v>302</v>
      </c>
      <c r="Q38" s="20">
        <v>796</v>
      </c>
      <c r="R38" s="20" t="s">
        <v>54</v>
      </c>
      <c r="S38" s="93">
        <v>20</v>
      </c>
      <c r="T38" s="29">
        <f>100-(100*12/112)</f>
        <v>89.285714285714292</v>
      </c>
      <c r="U38" s="29">
        <v>0</v>
      </c>
      <c r="V38" s="24">
        <f t="shared" ref="V38" si="26">U38+(U38*12%)</f>
        <v>0</v>
      </c>
      <c r="W38" s="25"/>
      <c r="X38" s="25">
        <v>2018</v>
      </c>
      <c r="Y38" s="62" t="s">
        <v>724</v>
      </c>
    </row>
    <row r="39" spans="2:25" ht="52.8">
      <c r="B39" s="20" t="s">
        <v>113</v>
      </c>
      <c r="C39" s="20" t="s">
        <v>36</v>
      </c>
      <c r="D39" s="20" t="s">
        <v>110</v>
      </c>
      <c r="E39" s="20" t="s">
        <v>111</v>
      </c>
      <c r="F39" s="20" t="s">
        <v>112</v>
      </c>
      <c r="G39" s="20"/>
      <c r="H39" s="20" t="s">
        <v>40</v>
      </c>
      <c r="I39" s="20">
        <v>0</v>
      </c>
      <c r="J39" s="22">
        <v>710000000</v>
      </c>
      <c r="K39" s="20" t="s">
        <v>41</v>
      </c>
      <c r="L39" s="20" t="s">
        <v>736</v>
      </c>
      <c r="M39" s="20" t="s">
        <v>42</v>
      </c>
      <c r="N39" s="20" t="s">
        <v>43</v>
      </c>
      <c r="O39" s="23" t="s">
        <v>301</v>
      </c>
      <c r="P39" s="20" t="s">
        <v>302</v>
      </c>
      <c r="Q39" s="20">
        <v>796</v>
      </c>
      <c r="R39" s="20" t="s">
        <v>54</v>
      </c>
      <c r="S39" s="93">
        <v>7</v>
      </c>
      <c r="T39" s="29">
        <f>565-(565*12/112)</f>
        <v>504.46428571428572</v>
      </c>
      <c r="U39" s="29">
        <f t="shared" ref="U39" si="27">S39*T39</f>
        <v>3531.25</v>
      </c>
      <c r="V39" s="24">
        <f t="shared" ref="V39" si="28">U39+(U39*12%)</f>
        <v>3955</v>
      </c>
      <c r="W39" s="25"/>
      <c r="X39" s="25">
        <v>2018</v>
      </c>
      <c r="Y39" s="62"/>
    </row>
    <row r="40" spans="2:25" ht="52.8">
      <c r="B40" s="20" t="s">
        <v>117</v>
      </c>
      <c r="C40" s="20" t="s">
        <v>36</v>
      </c>
      <c r="D40" s="20" t="s">
        <v>114</v>
      </c>
      <c r="E40" s="20" t="s">
        <v>115</v>
      </c>
      <c r="F40" s="20" t="s">
        <v>116</v>
      </c>
      <c r="G40" s="20"/>
      <c r="H40" s="20" t="s">
        <v>40</v>
      </c>
      <c r="I40" s="20">
        <v>0</v>
      </c>
      <c r="J40" s="22">
        <v>710000000</v>
      </c>
      <c r="K40" s="20" t="s">
        <v>41</v>
      </c>
      <c r="L40" s="20" t="s">
        <v>736</v>
      </c>
      <c r="M40" s="20" t="s">
        <v>42</v>
      </c>
      <c r="N40" s="20" t="s">
        <v>43</v>
      </c>
      <c r="O40" s="23" t="s">
        <v>301</v>
      </c>
      <c r="P40" s="20" t="s">
        <v>302</v>
      </c>
      <c r="Q40" s="20">
        <v>796</v>
      </c>
      <c r="R40" s="20" t="s">
        <v>54</v>
      </c>
      <c r="S40" s="93">
        <v>25</v>
      </c>
      <c r="T40" s="24">
        <v>53.57</v>
      </c>
      <c r="U40" s="24">
        <v>0</v>
      </c>
      <c r="V40" s="24">
        <f t="shared" si="7"/>
        <v>0</v>
      </c>
      <c r="W40" s="25"/>
      <c r="X40" s="25">
        <v>2018</v>
      </c>
      <c r="Y40" s="62" t="s">
        <v>724</v>
      </c>
    </row>
    <row r="41" spans="2:25" ht="52.8">
      <c r="B41" s="20" t="s">
        <v>121</v>
      </c>
      <c r="C41" s="20" t="s">
        <v>36</v>
      </c>
      <c r="D41" s="20" t="s">
        <v>118</v>
      </c>
      <c r="E41" s="20" t="s">
        <v>119</v>
      </c>
      <c r="F41" s="20" t="s">
        <v>120</v>
      </c>
      <c r="G41" s="20"/>
      <c r="H41" s="20" t="s">
        <v>40</v>
      </c>
      <c r="I41" s="20">
        <v>0</v>
      </c>
      <c r="J41" s="22">
        <v>710000000</v>
      </c>
      <c r="K41" s="20" t="s">
        <v>41</v>
      </c>
      <c r="L41" s="20" t="s">
        <v>736</v>
      </c>
      <c r="M41" s="20" t="s">
        <v>42</v>
      </c>
      <c r="N41" s="20" t="s">
        <v>43</v>
      </c>
      <c r="O41" s="23" t="s">
        <v>301</v>
      </c>
      <c r="P41" s="20" t="s">
        <v>302</v>
      </c>
      <c r="Q41" s="20">
        <v>796</v>
      </c>
      <c r="R41" s="20" t="s">
        <v>54</v>
      </c>
      <c r="S41" s="93">
        <v>30</v>
      </c>
      <c r="T41" s="24">
        <v>3125</v>
      </c>
      <c r="U41" s="24">
        <v>0</v>
      </c>
      <c r="V41" s="24">
        <f t="shared" si="7"/>
        <v>0</v>
      </c>
      <c r="W41" s="25"/>
      <c r="X41" s="25">
        <v>2018</v>
      </c>
      <c r="Y41" s="62" t="s">
        <v>723</v>
      </c>
    </row>
    <row r="42" spans="2:25" ht="52.8">
      <c r="B42" s="20" t="s">
        <v>728</v>
      </c>
      <c r="C42" s="20" t="s">
        <v>36</v>
      </c>
      <c r="D42" s="20" t="s">
        <v>118</v>
      </c>
      <c r="E42" s="20" t="s">
        <v>119</v>
      </c>
      <c r="F42" s="20" t="s">
        <v>120</v>
      </c>
      <c r="G42" s="20"/>
      <c r="H42" s="20" t="s">
        <v>40</v>
      </c>
      <c r="I42" s="20">
        <v>0</v>
      </c>
      <c r="J42" s="22">
        <v>710000000</v>
      </c>
      <c r="K42" s="20" t="s">
        <v>41</v>
      </c>
      <c r="L42" s="20" t="s">
        <v>736</v>
      </c>
      <c r="M42" s="20" t="s">
        <v>42</v>
      </c>
      <c r="N42" s="20" t="s">
        <v>43</v>
      </c>
      <c r="O42" s="23" t="s">
        <v>301</v>
      </c>
      <c r="P42" s="20" t="s">
        <v>302</v>
      </c>
      <c r="Q42" s="20">
        <v>796</v>
      </c>
      <c r="R42" s="20" t="s">
        <v>54</v>
      </c>
      <c r="S42" s="93">
        <v>10</v>
      </c>
      <c r="T42" s="29">
        <f>3500-(3500*12/112)</f>
        <v>3125</v>
      </c>
      <c r="U42" s="29">
        <f t="shared" ref="U42" si="29">S42*T42</f>
        <v>31250</v>
      </c>
      <c r="V42" s="24">
        <f t="shared" si="7"/>
        <v>35000</v>
      </c>
      <c r="W42" s="25"/>
      <c r="X42" s="25">
        <v>2018</v>
      </c>
      <c r="Y42" s="62"/>
    </row>
    <row r="43" spans="2:25" ht="52.8">
      <c r="B43" s="20" t="s">
        <v>123</v>
      </c>
      <c r="C43" s="20" t="s">
        <v>36</v>
      </c>
      <c r="D43" s="20" t="s">
        <v>118</v>
      </c>
      <c r="E43" s="20" t="s">
        <v>119</v>
      </c>
      <c r="F43" s="20" t="s">
        <v>122</v>
      </c>
      <c r="G43" s="20"/>
      <c r="H43" s="20" t="s">
        <v>40</v>
      </c>
      <c r="I43" s="20">
        <v>0</v>
      </c>
      <c r="J43" s="22">
        <v>710000000</v>
      </c>
      <c r="K43" s="20" t="s">
        <v>41</v>
      </c>
      <c r="L43" s="20" t="s">
        <v>736</v>
      </c>
      <c r="M43" s="20" t="s">
        <v>42</v>
      </c>
      <c r="N43" s="20" t="s">
        <v>43</v>
      </c>
      <c r="O43" s="23" t="s">
        <v>301</v>
      </c>
      <c r="P43" s="20" t="s">
        <v>302</v>
      </c>
      <c r="Q43" s="20">
        <v>796</v>
      </c>
      <c r="R43" s="20" t="s">
        <v>54</v>
      </c>
      <c r="S43" s="93">
        <v>3</v>
      </c>
      <c r="T43" s="29">
        <f>2250-(2250*12/112)</f>
        <v>2008.9285714285713</v>
      </c>
      <c r="U43" s="24">
        <v>0</v>
      </c>
      <c r="V43" s="24">
        <f t="shared" si="7"/>
        <v>0</v>
      </c>
      <c r="W43" s="25"/>
      <c r="X43" s="25">
        <v>2018</v>
      </c>
      <c r="Y43" s="62" t="s">
        <v>723</v>
      </c>
    </row>
    <row r="44" spans="2:25" ht="52.8">
      <c r="B44" s="20" t="s">
        <v>729</v>
      </c>
      <c r="C44" s="20" t="s">
        <v>36</v>
      </c>
      <c r="D44" s="20" t="s">
        <v>118</v>
      </c>
      <c r="E44" s="20" t="s">
        <v>119</v>
      </c>
      <c r="F44" s="20" t="s">
        <v>122</v>
      </c>
      <c r="G44" s="20"/>
      <c r="H44" s="20" t="s">
        <v>40</v>
      </c>
      <c r="I44" s="20">
        <v>0</v>
      </c>
      <c r="J44" s="22">
        <v>710000000</v>
      </c>
      <c r="K44" s="20" t="s">
        <v>41</v>
      </c>
      <c r="L44" s="20" t="s">
        <v>736</v>
      </c>
      <c r="M44" s="20" t="s">
        <v>42</v>
      </c>
      <c r="N44" s="20" t="s">
        <v>43</v>
      </c>
      <c r="O44" s="23" t="s">
        <v>301</v>
      </c>
      <c r="P44" s="20" t="s">
        <v>302</v>
      </c>
      <c r="Q44" s="20">
        <v>796</v>
      </c>
      <c r="R44" s="20" t="s">
        <v>54</v>
      </c>
      <c r="S44" s="93">
        <v>2</v>
      </c>
      <c r="T44" s="29">
        <f>2250-(2250*12/112)</f>
        <v>2008.9285714285713</v>
      </c>
      <c r="U44" s="29">
        <f t="shared" ref="U44" si="30">S44*T44</f>
        <v>4017.8571428571427</v>
      </c>
      <c r="V44" s="24">
        <f t="shared" ref="V44" si="31">U44+(U44*12%)</f>
        <v>4500</v>
      </c>
      <c r="W44" s="25"/>
      <c r="X44" s="25">
        <v>2018</v>
      </c>
      <c r="Y44" s="62"/>
    </row>
    <row r="45" spans="2:25" ht="52.8">
      <c r="B45" s="20" t="s">
        <v>127</v>
      </c>
      <c r="C45" s="20" t="s">
        <v>36</v>
      </c>
      <c r="D45" s="20" t="s">
        <v>124</v>
      </c>
      <c r="E45" s="20" t="s">
        <v>125</v>
      </c>
      <c r="F45" s="20" t="s">
        <v>126</v>
      </c>
      <c r="G45" s="20"/>
      <c r="H45" s="20" t="s">
        <v>40</v>
      </c>
      <c r="I45" s="20">
        <v>0</v>
      </c>
      <c r="J45" s="22">
        <v>710000000</v>
      </c>
      <c r="K45" s="20" t="s">
        <v>41</v>
      </c>
      <c r="L45" s="20" t="s">
        <v>736</v>
      </c>
      <c r="M45" s="20" t="s">
        <v>42</v>
      </c>
      <c r="N45" s="20" t="s">
        <v>43</v>
      </c>
      <c r="O45" s="23" t="s">
        <v>301</v>
      </c>
      <c r="P45" s="20" t="s">
        <v>302</v>
      </c>
      <c r="Q45" s="20">
        <v>778</v>
      </c>
      <c r="R45" s="20" t="s">
        <v>77</v>
      </c>
      <c r="S45" s="93">
        <v>50</v>
      </c>
      <c r="T45" s="29">
        <f>800-(800*12/112)</f>
        <v>714.28571428571433</v>
      </c>
      <c r="U45" s="24">
        <v>0</v>
      </c>
      <c r="V45" s="24">
        <f t="shared" si="7"/>
        <v>0</v>
      </c>
      <c r="W45" s="25"/>
      <c r="X45" s="25">
        <v>2018</v>
      </c>
      <c r="Y45" s="62" t="s">
        <v>723</v>
      </c>
    </row>
    <row r="46" spans="2:25" ht="52.8">
      <c r="B46" s="20" t="s">
        <v>755</v>
      </c>
      <c r="C46" s="20" t="s">
        <v>36</v>
      </c>
      <c r="D46" s="20" t="s">
        <v>124</v>
      </c>
      <c r="E46" s="20" t="s">
        <v>125</v>
      </c>
      <c r="F46" s="20" t="s">
        <v>126</v>
      </c>
      <c r="G46" s="20"/>
      <c r="H46" s="20" t="s">
        <v>40</v>
      </c>
      <c r="I46" s="20">
        <v>0</v>
      </c>
      <c r="J46" s="22">
        <v>710000000</v>
      </c>
      <c r="K46" s="20" t="s">
        <v>41</v>
      </c>
      <c r="L46" s="20" t="s">
        <v>736</v>
      </c>
      <c r="M46" s="20" t="s">
        <v>42</v>
      </c>
      <c r="N46" s="20" t="s">
        <v>43</v>
      </c>
      <c r="O46" s="23" t="s">
        <v>301</v>
      </c>
      <c r="P46" s="20" t="s">
        <v>302</v>
      </c>
      <c r="Q46" s="20">
        <v>778</v>
      </c>
      <c r="R46" s="20" t="s">
        <v>77</v>
      </c>
      <c r="S46" s="93">
        <v>25</v>
      </c>
      <c r="T46" s="29">
        <f>800-(800*12/112)</f>
        <v>714.28571428571433</v>
      </c>
      <c r="U46" s="29">
        <f t="shared" ref="U46" si="32">S46*T46</f>
        <v>17857.142857142859</v>
      </c>
      <c r="V46" s="24">
        <f t="shared" si="7"/>
        <v>20000</v>
      </c>
      <c r="W46" s="25"/>
      <c r="X46" s="25">
        <v>2018</v>
      </c>
      <c r="Y46" s="62"/>
    </row>
    <row r="47" spans="2:25" ht="52.8">
      <c r="B47" s="20" t="s">
        <v>130</v>
      </c>
      <c r="C47" s="20" t="s">
        <v>36</v>
      </c>
      <c r="D47" s="20" t="s">
        <v>128</v>
      </c>
      <c r="E47" s="20" t="s">
        <v>38</v>
      </c>
      <c r="F47" s="20" t="s">
        <v>129</v>
      </c>
      <c r="G47" s="20"/>
      <c r="H47" s="20" t="s">
        <v>40</v>
      </c>
      <c r="I47" s="20">
        <v>0</v>
      </c>
      <c r="J47" s="22">
        <v>710000000</v>
      </c>
      <c r="K47" s="20" t="s">
        <v>41</v>
      </c>
      <c r="L47" s="20" t="s">
        <v>736</v>
      </c>
      <c r="M47" s="20" t="s">
        <v>42</v>
      </c>
      <c r="N47" s="20" t="s">
        <v>43</v>
      </c>
      <c r="O47" s="23" t="s">
        <v>301</v>
      </c>
      <c r="P47" s="20" t="s">
        <v>302</v>
      </c>
      <c r="Q47" s="20">
        <v>796</v>
      </c>
      <c r="R47" s="20" t="s">
        <v>54</v>
      </c>
      <c r="S47" s="93">
        <v>4</v>
      </c>
      <c r="T47" s="24">
        <v>2004</v>
      </c>
      <c r="U47" s="24">
        <v>0</v>
      </c>
      <c r="V47" s="24">
        <f t="shared" si="7"/>
        <v>0</v>
      </c>
      <c r="W47" s="25"/>
      <c r="X47" s="25">
        <v>2018</v>
      </c>
      <c r="Y47" s="62" t="s">
        <v>724</v>
      </c>
    </row>
    <row r="48" spans="2:25" ht="52.8">
      <c r="B48" s="20" t="s">
        <v>134</v>
      </c>
      <c r="C48" s="20" t="s">
        <v>36</v>
      </c>
      <c r="D48" s="20" t="s">
        <v>131</v>
      </c>
      <c r="E48" s="20" t="s">
        <v>132</v>
      </c>
      <c r="F48" s="20" t="s">
        <v>133</v>
      </c>
      <c r="G48" s="20"/>
      <c r="H48" s="20" t="s">
        <v>40</v>
      </c>
      <c r="I48" s="20">
        <v>0</v>
      </c>
      <c r="J48" s="22">
        <v>710000000</v>
      </c>
      <c r="K48" s="20" t="s">
        <v>41</v>
      </c>
      <c r="L48" s="20" t="s">
        <v>736</v>
      </c>
      <c r="M48" s="20" t="s">
        <v>42</v>
      </c>
      <c r="N48" s="20" t="s">
        <v>43</v>
      </c>
      <c r="O48" s="23" t="s">
        <v>301</v>
      </c>
      <c r="P48" s="20" t="s">
        <v>302</v>
      </c>
      <c r="Q48" s="20">
        <v>796</v>
      </c>
      <c r="R48" s="20" t="s">
        <v>54</v>
      </c>
      <c r="S48" s="93">
        <v>20</v>
      </c>
      <c r="T48" s="29">
        <f>195-(195*12/112)</f>
        <v>174.10714285714286</v>
      </c>
      <c r="U48" s="24">
        <v>0</v>
      </c>
      <c r="V48" s="24">
        <f t="shared" si="7"/>
        <v>0</v>
      </c>
      <c r="W48" s="25"/>
      <c r="X48" s="25">
        <v>2018</v>
      </c>
      <c r="Y48" s="62" t="s">
        <v>723</v>
      </c>
    </row>
    <row r="49" spans="2:25" ht="52.8">
      <c r="B49" s="20" t="s">
        <v>756</v>
      </c>
      <c r="C49" s="20" t="s">
        <v>36</v>
      </c>
      <c r="D49" s="20" t="s">
        <v>131</v>
      </c>
      <c r="E49" s="20" t="s">
        <v>132</v>
      </c>
      <c r="F49" s="20" t="s">
        <v>133</v>
      </c>
      <c r="G49" s="20"/>
      <c r="H49" s="20" t="s">
        <v>40</v>
      </c>
      <c r="I49" s="20">
        <v>0</v>
      </c>
      <c r="J49" s="22">
        <v>710000000</v>
      </c>
      <c r="K49" s="20" t="s">
        <v>41</v>
      </c>
      <c r="L49" s="20" t="s">
        <v>736</v>
      </c>
      <c r="M49" s="20" t="s">
        <v>42</v>
      </c>
      <c r="N49" s="20" t="s">
        <v>43</v>
      </c>
      <c r="O49" s="23" t="s">
        <v>301</v>
      </c>
      <c r="P49" s="20" t="s">
        <v>302</v>
      </c>
      <c r="Q49" s="20">
        <v>796</v>
      </c>
      <c r="R49" s="20" t="s">
        <v>54</v>
      </c>
      <c r="S49" s="93">
        <v>10</v>
      </c>
      <c r="T49" s="29">
        <f>195-(195*12/112)</f>
        <v>174.10714285714286</v>
      </c>
      <c r="U49" s="29">
        <f t="shared" ref="U49" si="33">S49*T49</f>
        <v>1741.0714285714287</v>
      </c>
      <c r="V49" s="24">
        <f t="shared" ref="V49" si="34">U49+(U49*12%)</f>
        <v>1950</v>
      </c>
      <c r="W49" s="25"/>
      <c r="X49" s="25">
        <v>2018</v>
      </c>
      <c r="Y49" s="62"/>
    </row>
    <row r="50" spans="2:25" ht="52.8">
      <c r="B50" s="20" t="s">
        <v>138</v>
      </c>
      <c r="C50" s="20" t="s">
        <v>36</v>
      </c>
      <c r="D50" s="20" t="s">
        <v>135</v>
      </c>
      <c r="E50" s="20" t="s">
        <v>136</v>
      </c>
      <c r="F50" s="20" t="s">
        <v>137</v>
      </c>
      <c r="G50" s="20"/>
      <c r="H50" s="20" t="s">
        <v>40</v>
      </c>
      <c r="I50" s="20">
        <v>0</v>
      </c>
      <c r="J50" s="22">
        <v>710000000</v>
      </c>
      <c r="K50" s="20" t="s">
        <v>41</v>
      </c>
      <c r="L50" s="20" t="s">
        <v>736</v>
      </c>
      <c r="M50" s="20" t="s">
        <v>42</v>
      </c>
      <c r="N50" s="20" t="s">
        <v>43</v>
      </c>
      <c r="O50" s="23" t="s">
        <v>301</v>
      </c>
      <c r="P50" s="20" t="s">
        <v>302</v>
      </c>
      <c r="Q50" s="20">
        <v>796</v>
      </c>
      <c r="R50" s="20" t="s">
        <v>54</v>
      </c>
      <c r="S50" s="93">
        <v>10</v>
      </c>
      <c r="T50" s="24">
        <v>214</v>
      </c>
      <c r="U50" s="24">
        <v>0</v>
      </c>
      <c r="V50" s="24">
        <f t="shared" si="7"/>
        <v>0</v>
      </c>
      <c r="W50" s="25"/>
      <c r="X50" s="25">
        <v>2018</v>
      </c>
      <c r="Y50" s="62" t="s">
        <v>724</v>
      </c>
    </row>
    <row r="51" spans="2:25" ht="52.8">
      <c r="B51" s="20" t="s">
        <v>142</v>
      </c>
      <c r="C51" s="20" t="s">
        <v>36</v>
      </c>
      <c r="D51" s="20" t="s">
        <v>139</v>
      </c>
      <c r="E51" s="20" t="s">
        <v>140</v>
      </c>
      <c r="F51" s="20" t="s">
        <v>141</v>
      </c>
      <c r="G51" s="20"/>
      <c r="H51" s="20" t="s">
        <v>40</v>
      </c>
      <c r="I51" s="20">
        <v>0</v>
      </c>
      <c r="J51" s="22">
        <v>710000000</v>
      </c>
      <c r="K51" s="20" t="s">
        <v>41</v>
      </c>
      <c r="L51" s="20" t="s">
        <v>736</v>
      </c>
      <c r="M51" s="20" t="s">
        <v>42</v>
      </c>
      <c r="N51" s="20" t="s">
        <v>43</v>
      </c>
      <c r="O51" s="23" t="s">
        <v>301</v>
      </c>
      <c r="P51" s="20" t="s">
        <v>302</v>
      </c>
      <c r="Q51" s="20">
        <v>796</v>
      </c>
      <c r="R51" s="20" t="s">
        <v>54</v>
      </c>
      <c r="S51" s="93">
        <v>10</v>
      </c>
      <c r="T51" s="29">
        <f>745-(745*12/112)</f>
        <v>665.17857142857144</v>
      </c>
      <c r="U51" s="29">
        <f t="shared" ref="U51" si="35">S51*T51</f>
        <v>6651.7857142857147</v>
      </c>
      <c r="V51" s="24">
        <f t="shared" si="7"/>
        <v>7450</v>
      </c>
      <c r="W51" s="25"/>
      <c r="X51" s="25">
        <v>2018</v>
      </c>
      <c r="Y51" s="62"/>
    </row>
    <row r="52" spans="2:25" ht="52.8">
      <c r="B52" s="20" t="s">
        <v>146</v>
      </c>
      <c r="C52" s="20" t="s">
        <v>36</v>
      </c>
      <c r="D52" s="20" t="s">
        <v>143</v>
      </c>
      <c r="E52" s="20" t="s">
        <v>144</v>
      </c>
      <c r="F52" s="20" t="s">
        <v>145</v>
      </c>
      <c r="G52" s="20"/>
      <c r="H52" s="20" t="s">
        <v>40</v>
      </c>
      <c r="I52" s="20">
        <v>0</v>
      </c>
      <c r="J52" s="22">
        <v>710000000</v>
      </c>
      <c r="K52" s="20" t="s">
        <v>41</v>
      </c>
      <c r="L52" s="20" t="s">
        <v>736</v>
      </c>
      <c r="M52" s="20" t="s">
        <v>42</v>
      </c>
      <c r="N52" s="20" t="s">
        <v>43</v>
      </c>
      <c r="O52" s="23" t="s">
        <v>301</v>
      </c>
      <c r="P52" s="20" t="s">
        <v>302</v>
      </c>
      <c r="Q52" s="20">
        <v>796</v>
      </c>
      <c r="R52" s="20" t="s">
        <v>54</v>
      </c>
      <c r="S52" s="93">
        <v>10</v>
      </c>
      <c r="T52" s="29">
        <f>1200-(1200*12/112)</f>
        <v>1071.4285714285713</v>
      </c>
      <c r="U52" s="24">
        <v>0</v>
      </c>
      <c r="V52" s="24">
        <f t="shared" si="7"/>
        <v>0</v>
      </c>
      <c r="W52" s="25"/>
      <c r="X52" s="25">
        <v>2018</v>
      </c>
      <c r="Y52" s="62" t="s">
        <v>723</v>
      </c>
    </row>
    <row r="53" spans="2:25" ht="52.8">
      <c r="B53" s="20" t="s">
        <v>757</v>
      </c>
      <c r="C53" s="20" t="s">
        <v>36</v>
      </c>
      <c r="D53" s="20" t="s">
        <v>143</v>
      </c>
      <c r="E53" s="20" t="s">
        <v>144</v>
      </c>
      <c r="F53" s="20" t="s">
        <v>145</v>
      </c>
      <c r="G53" s="20"/>
      <c r="H53" s="20" t="s">
        <v>40</v>
      </c>
      <c r="I53" s="20">
        <v>0</v>
      </c>
      <c r="J53" s="22">
        <v>710000000</v>
      </c>
      <c r="K53" s="20" t="s">
        <v>41</v>
      </c>
      <c r="L53" s="20" t="s">
        <v>736</v>
      </c>
      <c r="M53" s="20" t="s">
        <v>42</v>
      </c>
      <c r="N53" s="20" t="s">
        <v>43</v>
      </c>
      <c r="O53" s="23" t="s">
        <v>301</v>
      </c>
      <c r="P53" s="20" t="s">
        <v>302</v>
      </c>
      <c r="Q53" s="20">
        <v>796</v>
      </c>
      <c r="R53" s="20" t="s">
        <v>54</v>
      </c>
      <c r="S53" s="93">
        <v>5</v>
      </c>
      <c r="T53" s="29">
        <f>1200-(1200*12/112)</f>
        <v>1071.4285714285713</v>
      </c>
      <c r="U53" s="29">
        <f t="shared" ref="U53" si="36">S53*T53</f>
        <v>5357.1428571428569</v>
      </c>
      <c r="V53" s="24">
        <f t="shared" ref="V53" si="37">U53+(U53*12%)</f>
        <v>6000</v>
      </c>
      <c r="W53" s="25"/>
      <c r="X53" s="25">
        <v>2018</v>
      </c>
      <c r="Y53" s="62"/>
    </row>
    <row r="54" spans="2:25" ht="52.8">
      <c r="B54" s="20" t="s">
        <v>150</v>
      </c>
      <c r="C54" s="20" t="s">
        <v>36</v>
      </c>
      <c r="D54" s="20" t="s">
        <v>147</v>
      </c>
      <c r="E54" s="20" t="s">
        <v>148</v>
      </c>
      <c r="F54" s="20" t="s">
        <v>149</v>
      </c>
      <c r="G54" s="20"/>
      <c r="H54" s="20" t="s">
        <v>40</v>
      </c>
      <c r="I54" s="20">
        <v>0</v>
      </c>
      <c r="J54" s="22">
        <v>710000000</v>
      </c>
      <c r="K54" s="20" t="s">
        <v>41</v>
      </c>
      <c r="L54" s="20" t="s">
        <v>736</v>
      </c>
      <c r="M54" s="20" t="s">
        <v>42</v>
      </c>
      <c r="N54" s="20" t="s">
        <v>43</v>
      </c>
      <c r="O54" s="23" t="s">
        <v>301</v>
      </c>
      <c r="P54" s="20" t="s">
        <v>302</v>
      </c>
      <c r="Q54" s="20">
        <v>778</v>
      </c>
      <c r="R54" s="20" t="s">
        <v>77</v>
      </c>
      <c r="S54" s="93">
        <v>10</v>
      </c>
      <c r="T54" s="24">
        <v>187</v>
      </c>
      <c r="U54" s="24">
        <v>0</v>
      </c>
      <c r="V54" s="24">
        <f t="shared" si="7"/>
        <v>0</v>
      </c>
      <c r="W54" s="25"/>
      <c r="X54" s="25">
        <v>2018</v>
      </c>
      <c r="Y54" s="62" t="s">
        <v>724</v>
      </c>
    </row>
    <row r="55" spans="2:25" ht="52.8">
      <c r="B55" s="20" t="s">
        <v>154</v>
      </c>
      <c r="C55" s="20" t="s">
        <v>36</v>
      </c>
      <c r="D55" s="20" t="s">
        <v>151</v>
      </c>
      <c r="E55" s="20" t="s">
        <v>152</v>
      </c>
      <c r="F55" s="20" t="s">
        <v>153</v>
      </c>
      <c r="G55" s="20"/>
      <c r="H55" s="20" t="s">
        <v>40</v>
      </c>
      <c r="I55" s="20">
        <v>0</v>
      </c>
      <c r="J55" s="22">
        <v>710000000</v>
      </c>
      <c r="K55" s="20" t="s">
        <v>41</v>
      </c>
      <c r="L55" s="20" t="s">
        <v>736</v>
      </c>
      <c r="M55" s="20" t="s">
        <v>42</v>
      </c>
      <c r="N55" s="20" t="s">
        <v>43</v>
      </c>
      <c r="O55" s="23" t="s">
        <v>301</v>
      </c>
      <c r="P55" s="20" t="s">
        <v>302</v>
      </c>
      <c r="Q55" s="20">
        <v>796</v>
      </c>
      <c r="R55" s="20" t="s">
        <v>54</v>
      </c>
      <c r="S55" s="93">
        <v>20</v>
      </c>
      <c r="T55" s="29">
        <f>380-(380*12/112)</f>
        <v>339.28571428571428</v>
      </c>
      <c r="U55" s="24">
        <v>0</v>
      </c>
      <c r="V55" s="24">
        <f t="shared" si="7"/>
        <v>0</v>
      </c>
      <c r="W55" s="25"/>
      <c r="X55" s="25">
        <v>2018</v>
      </c>
      <c r="Y55" s="62" t="s">
        <v>723</v>
      </c>
    </row>
    <row r="56" spans="2:25" ht="52.8">
      <c r="B56" s="20" t="s">
        <v>758</v>
      </c>
      <c r="C56" s="20" t="s">
        <v>36</v>
      </c>
      <c r="D56" s="20" t="s">
        <v>151</v>
      </c>
      <c r="E56" s="20" t="s">
        <v>152</v>
      </c>
      <c r="F56" s="20" t="s">
        <v>153</v>
      </c>
      <c r="G56" s="20"/>
      <c r="H56" s="20" t="s">
        <v>40</v>
      </c>
      <c r="I56" s="20">
        <v>0</v>
      </c>
      <c r="J56" s="22">
        <v>710000000</v>
      </c>
      <c r="K56" s="20" t="s">
        <v>41</v>
      </c>
      <c r="L56" s="20" t="s">
        <v>736</v>
      </c>
      <c r="M56" s="20" t="s">
        <v>42</v>
      </c>
      <c r="N56" s="20" t="s">
        <v>43</v>
      </c>
      <c r="O56" s="23" t="s">
        <v>301</v>
      </c>
      <c r="P56" s="20" t="s">
        <v>302</v>
      </c>
      <c r="Q56" s="20">
        <v>796</v>
      </c>
      <c r="R56" s="20" t="s">
        <v>54</v>
      </c>
      <c r="S56" s="93">
        <v>10</v>
      </c>
      <c r="T56" s="29">
        <f>380-(380*12/112)</f>
        <v>339.28571428571428</v>
      </c>
      <c r="U56" s="29">
        <f t="shared" ref="U56" si="38">S56*T56</f>
        <v>3392.8571428571427</v>
      </c>
      <c r="V56" s="24">
        <f t="shared" si="7"/>
        <v>3800</v>
      </c>
      <c r="W56" s="25"/>
      <c r="X56" s="25">
        <v>2018</v>
      </c>
      <c r="Y56" s="62"/>
    </row>
    <row r="57" spans="2:25" ht="52.8">
      <c r="B57" s="20" t="s">
        <v>158</v>
      </c>
      <c r="C57" s="20" t="s">
        <v>36</v>
      </c>
      <c r="D57" s="20" t="s">
        <v>155</v>
      </c>
      <c r="E57" s="20" t="s">
        <v>156</v>
      </c>
      <c r="F57" s="20" t="s">
        <v>157</v>
      </c>
      <c r="G57" s="20"/>
      <c r="H57" s="20" t="s">
        <v>40</v>
      </c>
      <c r="I57" s="20">
        <v>0</v>
      </c>
      <c r="J57" s="22">
        <v>710000000</v>
      </c>
      <c r="K57" s="20" t="s">
        <v>41</v>
      </c>
      <c r="L57" s="20" t="s">
        <v>736</v>
      </c>
      <c r="M57" s="20" t="s">
        <v>42</v>
      </c>
      <c r="N57" s="20" t="s">
        <v>43</v>
      </c>
      <c r="O57" s="23" t="s">
        <v>301</v>
      </c>
      <c r="P57" s="20" t="s">
        <v>302</v>
      </c>
      <c r="Q57" s="20">
        <v>796</v>
      </c>
      <c r="R57" s="20" t="s">
        <v>54</v>
      </c>
      <c r="S57" s="93">
        <v>20</v>
      </c>
      <c r="T57" s="24">
        <v>17.8</v>
      </c>
      <c r="U57" s="24">
        <v>0</v>
      </c>
      <c r="V57" s="24">
        <f t="shared" si="7"/>
        <v>0</v>
      </c>
      <c r="W57" s="25"/>
      <c r="X57" s="25">
        <v>2018</v>
      </c>
      <c r="Y57" s="62" t="s">
        <v>724</v>
      </c>
    </row>
    <row r="58" spans="2:25" ht="52.8">
      <c r="B58" s="20" t="s">
        <v>160</v>
      </c>
      <c r="C58" s="20" t="s">
        <v>36</v>
      </c>
      <c r="D58" s="20" t="s">
        <v>155</v>
      </c>
      <c r="E58" s="20" t="s">
        <v>156</v>
      </c>
      <c r="F58" s="20" t="s">
        <v>159</v>
      </c>
      <c r="G58" s="20"/>
      <c r="H58" s="20" t="s">
        <v>40</v>
      </c>
      <c r="I58" s="20">
        <v>0</v>
      </c>
      <c r="J58" s="22">
        <v>710000000</v>
      </c>
      <c r="K58" s="20" t="s">
        <v>41</v>
      </c>
      <c r="L58" s="20" t="s">
        <v>736</v>
      </c>
      <c r="M58" s="20" t="s">
        <v>42</v>
      </c>
      <c r="N58" s="20" t="s">
        <v>43</v>
      </c>
      <c r="O58" s="23" t="s">
        <v>301</v>
      </c>
      <c r="P58" s="20" t="s">
        <v>302</v>
      </c>
      <c r="Q58" s="20">
        <v>796</v>
      </c>
      <c r="R58" s="20" t="s">
        <v>54</v>
      </c>
      <c r="S58" s="93">
        <v>20</v>
      </c>
      <c r="T58" s="24">
        <v>40.17</v>
      </c>
      <c r="U58" s="24">
        <v>0</v>
      </c>
      <c r="V58" s="24">
        <f t="shared" si="7"/>
        <v>0</v>
      </c>
      <c r="W58" s="25"/>
      <c r="X58" s="25">
        <v>2018</v>
      </c>
      <c r="Y58" s="62" t="s">
        <v>724</v>
      </c>
    </row>
    <row r="59" spans="2:25" ht="52.8">
      <c r="B59" s="20" t="s">
        <v>164</v>
      </c>
      <c r="C59" s="20" t="s">
        <v>36</v>
      </c>
      <c r="D59" s="20" t="s">
        <v>161</v>
      </c>
      <c r="E59" s="20" t="s">
        <v>162</v>
      </c>
      <c r="F59" s="20" t="s">
        <v>163</v>
      </c>
      <c r="G59" s="20"/>
      <c r="H59" s="20" t="s">
        <v>40</v>
      </c>
      <c r="I59" s="20">
        <v>0</v>
      </c>
      <c r="J59" s="22">
        <v>710000000</v>
      </c>
      <c r="K59" s="20" t="s">
        <v>41</v>
      </c>
      <c r="L59" s="20" t="s">
        <v>736</v>
      </c>
      <c r="M59" s="20" t="s">
        <v>42</v>
      </c>
      <c r="N59" s="20" t="s">
        <v>43</v>
      </c>
      <c r="O59" s="23" t="s">
        <v>301</v>
      </c>
      <c r="P59" s="20" t="s">
        <v>302</v>
      </c>
      <c r="Q59" s="20">
        <v>796</v>
      </c>
      <c r="R59" s="20" t="s">
        <v>54</v>
      </c>
      <c r="S59" s="93">
        <v>10</v>
      </c>
      <c r="T59" s="24">
        <v>267</v>
      </c>
      <c r="U59" s="24">
        <v>0</v>
      </c>
      <c r="V59" s="24">
        <f t="shared" si="7"/>
        <v>0</v>
      </c>
      <c r="W59" s="25"/>
      <c r="X59" s="25">
        <v>2018</v>
      </c>
      <c r="Y59" s="62" t="s">
        <v>724</v>
      </c>
    </row>
    <row r="60" spans="2:25" ht="52.8">
      <c r="B60" s="20" t="s">
        <v>168</v>
      </c>
      <c r="C60" s="20" t="s">
        <v>36</v>
      </c>
      <c r="D60" s="20" t="s">
        <v>165</v>
      </c>
      <c r="E60" s="20" t="s">
        <v>166</v>
      </c>
      <c r="F60" s="20" t="s">
        <v>167</v>
      </c>
      <c r="G60" s="20"/>
      <c r="H60" s="20" t="s">
        <v>40</v>
      </c>
      <c r="I60" s="20">
        <v>0</v>
      </c>
      <c r="J60" s="22">
        <v>710000000</v>
      </c>
      <c r="K60" s="20" t="s">
        <v>41</v>
      </c>
      <c r="L60" s="20" t="s">
        <v>736</v>
      </c>
      <c r="M60" s="20" t="s">
        <v>42</v>
      </c>
      <c r="N60" s="20" t="s">
        <v>43</v>
      </c>
      <c r="O60" s="23" t="s">
        <v>301</v>
      </c>
      <c r="P60" s="20" t="s">
        <v>302</v>
      </c>
      <c r="Q60" s="20">
        <v>796</v>
      </c>
      <c r="R60" s="20" t="s">
        <v>54</v>
      </c>
      <c r="S60" s="93">
        <v>10</v>
      </c>
      <c r="T60" s="29">
        <f>1100-(1100*12/112)</f>
        <v>982.14285714285711</v>
      </c>
      <c r="U60" s="24">
        <v>0</v>
      </c>
      <c r="V60" s="24">
        <f t="shared" si="7"/>
        <v>0</v>
      </c>
      <c r="W60" s="25"/>
      <c r="X60" s="25">
        <v>2018</v>
      </c>
      <c r="Y60" s="62" t="s">
        <v>723</v>
      </c>
    </row>
    <row r="61" spans="2:25" ht="52.8">
      <c r="B61" s="20" t="s">
        <v>730</v>
      </c>
      <c r="C61" s="20" t="s">
        <v>36</v>
      </c>
      <c r="D61" s="20" t="s">
        <v>165</v>
      </c>
      <c r="E61" s="20" t="s">
        <v>166</v>
      </c>
      <c r="F61" s="20" t="s">
        <v>167</v>
      </c>
      <c r="G61" s="20"/>
      <c r="H61" s="20" t="s">
        <v>40</v>
      </c>
      <c r="I61" s="20">
        <v>0</v>
      </c>
      <c r="J61" s="22">
        <v>710000000</v>
      </c>
      <c r="K61" s="20" t="s">
        <v>41</v>
      </c>
      <c r="L61" s="20" t="s">
        <v>736</v>
      </c>
      <c r="M61" s="20" t="s">
        <v>42</v>
      </c>
      <c r="N61" s="20" t="s">
        <v>43</v>
      </c>
      <c r="O61" s="23" t="s">
        <v>301</v>
      </c>
      <c r="P61" s="20" t="s">
        <v>302</v>
      </c>
      <c r="Q61" s="20">
        <v>796</v>
      </c>
      <c r="R61" s="20" t="s">
        <v>54</v>
      </c>
      <c r="S61" s="93">
        <v>5</v>
      </c>
      <c r="T61" s="29">
        <f>1100-(1100*12/112)</f>
        <v>982.14285714285711</v>
      </c>
      <c r="U61" s="29">
        <f t="shared" ref="U61" si="39">S61*T61</f>
        <v>4910.7142857142853</v>
      </c>
      <c r="V61" s="24">
        <f t="shared" ref="V61" si="40">U61+(U61*12%)</f>
        <v>5500</v>
      </c>
      <c r="W61" s="25"/>
      <c r="X61" s="25">
        <v>2018</v>
      </c>
      <c r="Y61" s="62"/>
    </row>
    <row r="62" spans="2:25" ht="52.8">
      <c r="B62" s="20" t="s">
        <v>170</v>
      </c>
      <c r="C62" s="20" t="s">
        <v>36</v>
      </c>
      <c r="D62" s="20" t="s">
        <v>165</v>
      </c>
      <c r="E62" s="20" t="s">
        <v>166</v>
      </c>
      <c r="F62" s="20" t="s">
        <v>169</v>
      </c>
      <c r="G62" s="20"/>
      <c r="H62" s="20" t="s">
        <v>40</v>
      </c>
      <c r="I62" s="20">
        <v>0</v>
      </c>
      <c r="J62" s="22">
        <v>710000000</v>
      </c>
      <c r="K62" s="20" t="s">
        <v>41</v>
      </c>
      <c r="L62" s="20" t="s">
        <v>736</v>
      </c>
      <c r="M62" s="20" t="s">
        <v>42</v>
      </c>
      <c r="N62" s="20" t="s">
        <v>43</v>
      </c>
      <c r="O62" s="23" t="s">
        <v>301</v>
      </c>
      <c r="P62" s="20" t="s">
        <v>302</v>
      </c>
      <c r="Q62" s="20">
        <v>796</v>
      </c>
      <c r="R62" s="20" t="s">
        <v>54</v>
      </c>
      <c r="S62" s="93">
        <v>10</v>
      </c>
      <c r="T62" s="29">
        <f>2170-(2170*12/112)</f>
        <v>1937.5</v>
      </c>
      <c r="U62" s="24">
        <v>0</v>
      </c>
      <c r="V62" s="24">
        <f t="shared" si="7"/>
        <v>0</v>
      </c>
      <c r="W62" s="25"/>
      <c r="X62" s="25">
        <v>2018</v>
      </c>
      <c r="Y62" s="62" t="s">
        <v>723</v>
      </c>
    </row>
    <row r="63" spans="2:25" ht="52.8">
      <c r="B63" s="20" t="s">
        <v>759</v>
      </c>
      <c r="C63" s="20" t="s">
        <v>36</v>
      </c>
      <c r="D63" s="20" t="s">
        <v>165</v>
      </c>
      <c r="E63" s="20" t="s">
        <v>166</v>
      </c>
      <c r="F63" s="20" t="s">
        <v>169</v>
      </c>
      <c r="G63" s="20"/>
      <c r="H63" s="20" t="s">
        <v>40</v>
      </c>
      <c r="I63" s="20">
        <v>0</v>
      </c>
      <c r="J63" s="22">
        <v>710000000</v>
      </c>
      <c r="K63" s="20" t="s">
        <v>41</v>
      </c>
      <c r="L63" s="20" t="s">
        <v>736</v>
      </c>
      <c r="M63" s="20" t="s">
        <v>42</v>
      </c>
      <c r="N63" s="20" t="s">
        <v>43</v>
      </c>
      <c r="O63" s="23" t="s">
        <v>301</v>
      </c>
      <c r="P63" s="20" t="s">
        <v>302</v>
      </c>
      <c r="Q63" s="20">
        <v>796</v>
      </c>
      <c r="R63" s="20" t="s">
        <v>54</v>
      </c>
      <c r="S63" s="93">
        <v>5</v>
      </c>
      <c r="T63" s="29">
        <f>2170-(2170*12/112)</f>
        <v>1937.5</v>
      </c>
      <c r="U63" s="29">
        <f t="shared" ref="U63" si="41">S63*T63</f>
        <v>9687.5</v>
      </c>
      <c r="V63" s="24">
        <f t="shared" si="7"/>
        <v>10850</v>
      </c>
      <c r="W63" s="25"/>
      <c r="X63" s="25">
        <v>2018</v>
      </c>
      <c r="Y63" s="62"/>
    </row>
    <row r="64" spans="2:25" ht="52.8">
      <c r="B64" s="20" t="s">
        <v>172</v>
      </c>
      <c r="C64" s="20" t="s">
        <v>36</v>
      </c>
      <c r="D64" s="20" t="s">
        <v>165</v>
      </c>
      <c r="E64" s="20" t="s">
        <v>166</v>
      </c>
      <c r="F64" s="20" t="s">
        <v>171</v>
      </c>
      <c r="G64" s="20"/>
      <c r="H64" s="20" t="s">
        <v>40</v>
      </c>
      <c r="I64" s="20">
        <v>0</v>
      </c>
      <c r="J64" s="22">
        <v>710000000</v>
      </c>
      <c r="K64" s="20" t="s">
        <v>41</v>
      </c>
      <c r="L64" s="20" t="s">
        <v>736</v>
      </c>
      <c r="M64" s="20" t="s">
        <v>42</v>
      </c>
      <c r="N64" s="20" t="s">
        <v>43</v>
      </c>
      <c r="O64" s="23" t="s">
        <v>301</v>
      </c>
      <c r="P64" s="20" t="s">
        <v>302</v>
      </c>
      <c r="Q64" s="20">
        <v>796</v>
      </c>
      <c r="R64" s="20" t="s">
        <v>54</v>
      </c>
      <c r="S64" s="93">
        <v>2</v>
      </c>
      <c r="T64" s="24">
        <v>13392</v>
      </c>
      <c r="U64" s="24">
        <v>0</v>
      </c>
      <c r="V64" s="24">
        <f t="shared" si="7"/>
        <v>0</v>
      </c>
      <c r="W64" s="25"/>
      <c r="X64" s="25">
        <v>2018</v>
      </c>
      <c r="Y64" s="62" t="s">
        <v>724</v>
      </c>
    </row>
    <row r="65" spans="2:25" ht="52.8">
      <c r="B65" s="20" t="s">
        <v>176</v>
      </c>
      <c r="C65" s="20" t="s">
        <v>36</v>
      </c>
      <c r="D65" s="20" t="s">
        <v>173</v>
      </c>
      <c r="E65" s="20" t="s">
        <v>174</v>
      </c>
      <c r="F65" s="20" t="s">
        <v>175</v>
      </c>
      <c r="G65" s="20"/>
      <c r="H65" s="20" t="s">
        <v>40</v>
      </c>
      <c r="I65" s="20">
        <v>0</v>
      </c>
      <c r="J65" s="22">
        <v>710000000</v>
      </c>
      <c r="K65" s="20" t="s">
        <v>41</v>
      </c>
      <c r="L65" s="20" t="s">
        <v>736</v>
      </c>
      <c r="M65" s="20" t="s">
        <v>42</v>
      </c>
      <c r="N65" s="20" t="s">
        <v>43</v>
      </c>
      <c r="O65" s="23" t="s">
        <v>301</v>
      </c>
      <c r="P65" s="20" t="s">
        <v>302</v>
      </c>
      <c r="Q65" s="20">
        <v>778</v>
      </c>
      <c r="R65" s="20" t="s">
        <v>77</v>
      </c>
      <c r="S65" s="93">
        <v>40</v>
      </c>
      <c r="T65" s="29">
        <f>120-(120*12/112)</f>
        <v>107.14285714285714</v>
      </c>
      <c r="U65" s="29">
        <f t="shared" ref="U65" si="42">S65*T65</f>
        <v>4285.7142857142853</v>
      </c>
      <c r="V65" s="24">
        <f t="shared" ref="V65" si="43">U65+(U65*12%)</f>
        <v>4800</v>
      </c>
      <c r="W65" s="25"/>
      <c r="X65" s="25">
        <v>2018</v>
      </c>
      <c r="Y65" s="62"/>
    </row>
    <row r="66" spans="2:25" ht="52.8">
      <c r="B66" s="20" t="s">
        <v>178</v>
      </c>
      <c r="C66" s="20" t="s">
        <v>36</v>
      </c>
      <c r="D66" s="20" t="s">
        <v>173</v>
      </c>
      <c r="E66" s="20" t="s">
        <v>174</v>
      </c>
      <c r="F66" s="20" t="s">
        <v>177</v>
      </c>
      <c r="G66" s="20"/>
      <c r="H66" s="20" t="s">
        <v>40</v>
      </c>
      <c r="I66" s="20">
        <v>0</v>
      </c>
      <c r="J66" s="22">
        <v>710000000</v>
      </c>
      <c r="K66" s="20" t="s">
        <v>41</v>
      </c>
      <c r="L66" s="20" t="s">
        <v>736</v>
      </c>
      <c r="M66" s="20" t="s">
        <v>42</v>
      </c>
      <c r="N66" s="20" t="s">
        <v>43</v>
      </c>
      <c r="O66" s="23" t="s">
        <v>301</v>
      </c>
      <c r="P66" s="20" t="s">
        <v>302</v>
      </c>
      <c r="Q66" s="20">
        <v>778</v>
      </c>
      <c r="R66" s="20" t="s">
        <v>77</v>
      </c>
      <c r="S66" s="93">
        <v>40</v>
      </c>
      <c r="T66" s="29">
        <f>150-(150*12/112)</f>
        <v>133.92857142857142</v>
      </c>
      <c r="U66" s="29">
        <f t="shared" ref="U66" si="44">S66*T66</f>
        <v>5357.1428571428569</v>
      </c>
      <c r="V66" s="24">
        <f t="shared" ref="V66" si="45">U66+(U66*12%)</f>
        <v>6000</v>
      </c>
      <c r="W66" s="25"/>
      <c r="X66" s="26">
        <v>2018</v>
      </c>
      <c r="Y66" s="62"/>
    </row>
    <row r="67" spans="2:25" ht="52.8">
      <c r="B67" s="20" t="s">
        <v>180</v>
      </c>
      <c r="C67" s="20" t="s">
        <v>36</v>
      </c>
      <c r="D67" s="20" t="s">
        <v>173</v>
      </c>
      <c r="E67" s="20" t="s">
        <v>174</v>
      </c>
      <c r="F67" s="20" t="s">
        <v>179</v>
      </c>
      <c r="G67" s="20"/>
      <c r="H67" s="20" t="s">
        <v>40</v>
      </c>
      <c r="I67" s="20">
        <v>0</v>
      </c>
      <c r="J67" s="22">
        <v>710000000</v>
      </c>
      <c r="K67" s="20" t="s">
        <v>41</v>
      </c>
      <c r="L67" s="20" t="s">
        <v>736</v>
      </c>
      <c r="M67" s="20" t="s">
        <v>42</v>
      </c>
      <c r="N67" s="20" t="s">
        <v>43</v>
      </c>
      <c r="O67" s="23" t="s">
        <v>301</v>
      </c>
      <c r="P67" s="20" t="s">
        <v>302</v>
      </c>
      <c r="Q67" s="20">
        <v>778</v>
      </c>
      <c r="R67" s="20" t="s">
        <v>77</v>
      </c>
      <c r="S67" s="93">
        <v>20</v>
      </c>
      <c r="T67" s="29">
        <f>1100-(1100*12/112)</f>
        <v>982.14285714285711</v>
      </c>
      <c r="U67" s="29">
        <f t="shared" ref="U67" si="46">S67*T67</f>
        <v>19642.857142857141</v>
      </c>
      <c r="V67" s="24">
        <f t="shared" ref="V67" si="47">U67+(U67*12%)</f>
        <v>22000</v>
      </c>
      <c r="W67" s="25"/>
      <c r="X67" s="25">
        <v>2018</v>
      </c>
      <c r="Y67" s="62"/>
    </row>
    <row r="68" spans="2:25" ht="52.8">
      <c r="B68" s="20" t="s">
        <v>184</v>
      </c>
      <c r="C68" s="20" t="s">
        <v>36</v>
      </c>
      <c r="D68" s="20" t="s">
        <v>181</v>
      </c>
      <c r="E68" s="20" t="s">
        <v>182</v>
      </c>
      <c r="F68" s="20" t="s">
        <v>183</v>
      </c>
      <c r="G68" s="20"/>
      <c r="H68" s="20" t="s">
        <v>40</v>
      </c>
      <c r="I68" s="20">
        <v>0</v>
      </c>
      <c r="J68" s="22">
        <v>710000000</v>
      </c>
      <c r="K68" s="20" t="s">
        <v>41</v>
      </c>
      <c r="L68" s="20" t="s">
        <v>736</v>
      </c>
      <c r="M68" s="20" t="s">
        <v>42</v>
      </c>
      <c r="N68" s="20" t="s">
        <v>43</v>
      </c>
      <c r="O68" s="23" t="s">
        <v>301</v>
      </c>
      <c r="P68" s="20" t="s">
        <v>302</v>
      </c>
      <c r="Q68" s="20">
        <v>796</v>
      </c>
      <c r="R68" s="20" t="s">
        <v>54</v>
      </c>
      <c r="S68" s="93">
        <v>10</v>
      </c>
      <c r="T68" s="29">
        <f>3300-(3300*12/112)</f>
        <v>2946.4285714285716</v>
      </c>
      <c r="U68" s="24">
        <v>0</v>
      </c>
      <c r="V68" s="24">
        <f t="shared" si="7"/>
        <v>0</v>
      </c>
      <c r="W68" s="25"/>
      <c r="X68" s="25">
        <v>2018</v>
      </c>
      <c r="Y68" s="62" t="s">
        <v>723</v>
      </c>
    </row>
    <row r="69" spans="2:25" ht="52.8">
      <c r="B69" s="20" t="s">
        <v>731</v>
      </c>
      <c r="C69" s="20" t="s">
        <v>36</v>
      </c>
      <c r="D69" s="20" t="s">
        <v>181</v>
      </c>
      <c r="E69" s="20" t="s">
        <v>182</v>
      </c>
      <c r="F69" s="20" t="s">
        <v>183</v>
      </c>
      <c r="G69" s="20"/>
      <c r="H69" s="20" t="s">
        <v>40</v>
      </c>
      <c r="I69" s="20">
        <v>0</v>
      </c>
      <c r="J69" s="22">
        <v>710000000</v>
      </c>
      <c r="K69" s="20" t="s">
        <v>41</v>
      </c>
      <c r="L69" s="20" t="s">
        <v>736</v>
      </c>
      <c r="M69" s="20" t="s">
        <v>42</v>
      </c>
      <c r="N69" s="20" t="s">
        <v>43</v>
      </c>
      <c r="O69" s="23" t="s">
        <v>301</v>
      </c>
      <c r="P69" s="20" t="s">
        <v>302</v>
      </c>
      <c r="Q69" s="20">
        <v>796</v>
      </c>
      <c r="R69" s="20" t="s">
        <v>54</v>
      </c>
      <c r="S69" s="93">
        <v>5</v>
      </c>
      <c r="T69" s="29">
        <f>3300-(3300*12/112)</f>
        <v>2946.4285714285716</v>
      </c>
      <c r="U69" s="29">
        <f t="shared" ref="U69" si="48">S69*T69</f>
        <v>14732.142857142859</v>
      </c>
      <c r="V69" s="24">
        <f t="shared" si="7"/>
        <v>16500</v>
      </c>
      <c r="W69" s="25"/>
      <c r="X69" s="25">
        <v>2018</v>
      </c>
      <c r="Y69" s="62"/>
    </row>
    <row r="70" spans="2:25" ht="52.8">
      <c r="B70" s="20" t="s">
        <v>188</v>
      </c>
      <c r="C70" s="20" t="s">
        <v>36</v>
      </c>
      <c r="D70" s="20" t="s">
        <v>185</v>
      </c>
      <c r="E70" s="20" t="s">
        <v>186</v>
      </c>
      <c r="F70" s="20" t="s">
        <v>187</v>
      </c>
      <c r="G70" s="20"/>
      <c r="H70" s="20" t="s">
        <v>40</v>
      </c>
      <c r="I70" s="20">
        <v>0</v>
      </c>
      <c r="J70" s="22">
        <v>710000000</v>
      </c>
      <c r="K70" s="20" t="s">
        <v>41</v>
      </c>
      <c r="L70" s="20" t="s">
        <v>736</v>
      </c>
      <c r="M70" s="20" t="s">
        <v>42</v>
      </c>
      <c r="N70" s="20" t="s">
        <v>43</v>
      </c>
      <c r="O70" s="23" t="s">
        <v>301</v>
      </c>
      <c r="P70" s="20" t="s">
        <v>302</v>
      </c>
      <c r="Q70" s="20">
        <v>796</v>
      </c>
      <c r="R70" s="20" t="s">
        <v>54</v>
      </c>
      <c r="S70" s="93">
        <v>10</v>
      </c>
      <c r="T70" s="24">
        <v>1339</v>
      </c>
      <c r="U70" s="24">
        <v>0</v>
      </c>
      <c r="V70" s="24">
        <f t="shared" si="7"/>
        <v>0</v>
      </c>
      <c r="W70" s="25"/>
      <c r="X70" s="25">
        <v>2018</v>
      </c>
      <c r="Y70" s="62" t="s">
        <v>723</v>
      </c>
    </row>
    <row r="71" spans="2:25" ht="52.8">
      <c r="B71" s="20" t="s">
        <v>760</v>
      </c>
      <c r="C71" s="20" t="s">
        <v>36</v>
      </c>
      <c r="D71" s="20" t="s">
        <v>185</v>
      </c>
      <c r="E71" s="20" t="s">
        <v>186</v>
      </c>
      <c r="F71" s="20" t="s">
        <v>187</v>
      </c>
      <c r="G71" s="20"/>
      <c r="H71" s="20" t="s">
        <v>40</v>
      </c>
      <c r="I71" s="20">
        <v>0</v>
      </c>
      <c r="J71" s="22">
        <v>710000000</v>
      </c>
      <c r="K71" s="20" t="s">
        <v>41</v>
      </c>
      <c r="L71" s="20" t="s">
        <v>736</v>
      </c>
      <c r="M71" s="20" t="s">
        <v>42</v>
      </c>
      <c r="N71" s="20" t="s">
        <v>43</v>
      </c>
      <c r="O71" s="23" t="s">
        <v>301</v>
      </c>
      <c r="P71" s="20" t="s">
        <v>302</v>
      </c>
      <c r="Q71" s="20">
        <v>796</v>
      </c>
      <c r="R71" s="20" t="s">
        <v>54</v>
      </c>
      <c r="S71" s="93">
        <v>5</v>
      </c>
      <c r="T71" s="29">
        <f>1500-(1500*12/112)</f>
        <v>1339.2857142857142</v>
      </c>
      <c r="U71" s="29">
        <f t="shared" ref="U71" si="49">S71*T71</f>
        <v>6696.4285714285706</v>
      </c>
      <c r="V71" s="24">
        <f t="shared" ref="V71" si="50">U71+(U71*12%)</f>
        <v>7499.9999999999991</v>
      </c>
      <c r="W71" s="25"/>
      <c r="X71" s="25">
        <v>2018</v>
      </c>
      <c r="Y71" s="62"/>
    </row>
    <row r="72" spans="2:25" ht="52.8">
      <c r="B72" s="20" t="s">
        <v>192</v>
      </c>
      <c r="C72" s="20" t="s">
        <v>36</v>
      </c>
      <c r="D72" s="20" t="s">
        <v>189</v>
      </c>
      <c r="E72" s="20" t="s">
        <v>190</v>
      </c>
      <c r="F72" s="20" t="s">
        <v>191</v>
      </c>
      <c r="G72" s="20"/>
      <c r="H72" s="20" t="s">
        <v>40</v>
      </c>
      <c r="I72" s="20">
        <v>0</v>
      </c>
      <c r="J72" s="22">
        <v>710000000</v>
      </c>
      <c r="K72" s="20" t="s">
        <v>41</v>
      </c>
      <c r="L72" s="20" t="s">
        <v>736</v>
      </c>
      <c r="M72" s="20" t="s">
        <v>42</v>
      </c>
      <c r="N72" s="20" t="s">
        <v>43</v>
      </c>
      <c r="O72" s="23" t="s">
        <v>301</v>
      </c>
      <c r="P72" s="20" t="s">
        <v>302</v>
      </c>
      <c r="Q72" s="20">
        <v>796</v>
      </c>
      <c r="R72" s="20" t="s">
        <v>54</v>
      </c>
      <c r="S72" s="93">
        <v>20</v>
      </c>
      <c r="T72" s="24">
        <v>357</v>
      </c>
      <c r="U72" s="24">
        <v>0</v>
      </c>
      <c r="V72" s="24">
        <f t="shared" si="7"/>
        <v>0</v>
      </c>
      <c r="W72" s="25"/>
      <c r="X72" s="25">
        <v>2018</v>
      </c>
      <c r="Y72" s="62" t="s">
        <v>724</v>
      </c>
    </row>
    <row r="73" spans="2:25" ht="52.8">
      <c r="B73" s="20" t="s">
        <v>196</v>
      </c>
      <c r="C73" s="20" t="s">
        <v>36</v>
      </c>
      <c r="D73" s="20" t="s">
        <v>193</v>
      </c>
      <c r="E73" s="20" t="s">
        <v>194</v>
      </c>
      <c r="F73" s="20" t="s">
        <v>195</v>
      </c>
      <c r="G73" s="20"/>
      <c r="H73" s="20" t="s">
        <v>40</v>
      </c>
      <c r="I73" s="20">
        <v>0</v>
      </c>
      <c r="J73" s="22">
        <v>710000000</v>
      </c>
      <c r="K73" s="20" t="s">
        <v>41</v>
      </c>
      <c r="L73" s="20" t="s">
        <v>736</v>
      </c>
      <c r="M73" s="20" t="s">
        <v>42</v>
      </c>
      <c r="N73" s="20" t="s">
        <v>43</v>
      </c>
      <c r="O73" s="23" t="s">
        <v>301</v>
      </c>
      <c r="P73" s="20" t="s">
        <v>302</v>
      </c>
      <c r="Q73" s="20">
        <v>796</v>
      </c>
      <c r="R73" s="20" t="s">
        <v>54</v>
      </c>
      <c r="S73" s="93">
        <v>10</v>
      </c>
      <c r="T73" s="29">
        <f>4100-(4100*12/112)</f>
        <v>3660.7142857142858</v>
      </c>
      <c r="U73" s="24">
        <v>0</v>
      </c>
      <c r="V73" s="24">
        <f t="shared" si="7"/>
        <v>0</v>
      </c>
      <c r="W73" s="25"/>
      <c r="X73" s="25">
        <v>2018</v>
      </c>
      <c r="Y73" s="62" t="s">
        <v>723</v>
      </c>
    </row>
    <row r="74" spans="2:25" ht="52.8">
      <c r="B74" s="20" t="s">
        <v>732</v>
      </c>
      <c r="C74" s="20" t="s">
        <v>36</v>
      </c>
      <c r="D74" s="20" t="s">
        <v>193</v>
      </c>
      <c r="E74" s="20" t="s">
        <v>194</v>
      </c>
      <c r="F74" s="20" t="s">
        <v>195</v>
      </c>
      <c r="G74" s="20"/>
      <c r="H74" s="20" t="s">
        <v>40</v>
      </c>
      <c r="I74" s="20">
        <v>0</v>
      </c>
      <c r="J74" s="22">
        <v>710000000</v>
      </c>
      <c r="K74" s="20" t="s">
        <v>41</v>
      </c>
      <c r="L74" s="20" t="s">
        <v>736</v>
      </c>
      <c r="M74" s="20" t="s">
        <v>42</v>
      </c>
      <c r="N74" s="20" t="s">
        <v>43</v>
      </c>
      <c r="O74" s="23" t="s">
        <v>301</v>
      </c>
      <c r="P74" s="20" t="s">
        <v>302</v>
      </c>
      <c r="Q74" s="20">
        <v>796</v>
      </c>
      <c r="R74" s="20" t="s">
        <v>54</v>
      </c>
      <c r="S74" s="93">
        <v>5</v>
      </c>
      <c r="T74" s="29">
        <f>4100-(4100*12/112)</f>
        <v>3660.7142857142858</v>
      </c>
      <c r="U74" s="29">
        <f t="shared" ref="U74" si="51">S74*T74</f>
        <v>18303.571428571428</v>
      </c>
      <c r="V74" s="24">
        <f t="shared" si="7"/>
        <v>20500</v>
      </c>
      <c r="W74" s="25"/>
      <c r="X74" s="25">
        <v>2018</v>
      </c>
      <c r="Y74" s="62"/>
    </row>
    <row r="75" spans="2:25" ht="52.8">
      <c r="B75" s="20" t="s">
        <v>200</v>
      </c>
      <c r="C75" s="20" t="s">
        <v>36</v>
      </c>
      <c r="D75" s="20" t="s">
        <v>197</v>
      </c>
      <c r="E75" s="20" t="s">
        <v>198</v>
      </c>
      <c r="F75" s="20" t="s">
        <v>199</v>
      </c>
      <c r="G75" s="20"/>
      <c r="H75" s="20" t="s">
        <v>40</v>
      </c>
      <c r="I75" s="20">
        <v>0</v>
      </c>
      <c r="J75" s="22">
        <v>710000000</v>
      </c>
      <c r="K75" s="20" t="s">
        <v>41</v>
      </c>
      <c r="L75" s="20" t="s">
        <v>736</v>
      </c>
      <c r="M75" s="20" t="s">
        <v>42</v>
      </c>
      <c r="N75" s="20" t="s">
        <v>43</v>
      </c>
      <c r="O75" s="23" t="s">
        <v>301</v>
      </c>
      <c r="P75" s="20" t="s">
        <v>302</v>
      </c>
      <c r="Q75" s="20">
        <v>796</v>
      </c>
      <c r="R75" s="20" t="s">
        <v>54</v>
      </c>
      <c r="S75" s="93">
        <v>10</v>
      </c>
      <c r="T75" s="29">
        <f>3700-(3700*12/112)</f>
        <v>3303.5714285714284</v>
      </c>
      <c r="U75" s="24">
        <v>0</v>
      </c>
      <c r="V75" s="24">
        <f t="shared" si="7"/>
        <v>0</v>
      </c>
      <c r="W75" s="25"/>
      <c r="X75" s="25">
        <v>2018</v>
      </c>
      <c r="Y75" s="62" t="s">
        <v>723</v>
      </c>
    </row>
    <row r="76" spans="2:25" ht="52.8">
      <c r="B76" s="20" t="s">
        <v>761</v>
      </c>
      <c r="C76" s="20" t="s">
        <v>36</v>
      </c>
      <c r="D76" s="20" t="s">
        <v>197</v>
      </c>
      <c r="E76" s="20" t="s">
        <v>198</v>
      </c>
      <c r="F76" s="20" t="s">
        <v>199</v>
      </c>
      <c r="G76" s="20"/>
      <c r="H76" s="20" t="s">
        <v>40</v>
      </c>
      <c r="I76" s="20">
        <v>0</v>
      </c>
      <c r="J76" s="22">
        <v>710000000</v>
      </c>
      <c r="K76" s="20" t="s">
        <v>41</v>
      </c>
      <c r="L76" s="20" t="s">
        <v>736</v>
      </c>
      <c r="M76" s="20" t="s">
        <v>42</v>
      </c>
      <c r="N76" s="20" t="s">
        <v>43</v>
      </c>
      <c r="O76" s="23" t="s">
        <v>301</v>
      </c>
      <c r="P76" s="20" t="s">
        <v>302</v>
      </c>
      <c r="Q76" s="20">
        <v>796</v>
      </c>
      <c r="R76" s="20" t="s">
        <v>54</v>
      </c>
      <c r="S76" s="93">
        <v>5</v>
      </c>
      <c r="T76" s="29">
        <f>3700-(3700*12/112)</f>
        <v>3303.5714285714284</v>
      </c>
      <c r="U76" s="29">
        <f t="shared" ref="U76" si="52">S76*T76</f>
        <v>16517.857142857141</v>
      </c>
      <c r="V76" s="24">
        <f t="shared" ref="V76" si="53">U76+(U76*12%)</f>
        <v>18500</v>
      </c>
      <c r="W76" s="25"/>
      <c r="X76" s="25">
        <v>2018</v>
      </c>
      <c r="Y76" s="62"/>
    </row>
    <row r="77" spans="2:25" ht="52.8">
      <c r="B77" s="20" t="s">
        <v>204</v>
      </c>
      <c r="C77" s="20" t="s">
        <v>36</v>
      </c>
      <c r="D77" s="20" t="s">
        <v>201</v>
      </c>
      <c r="E77" s="20" t="s">
        <v>202</v>
      </c>
      <c r="F77" s="20" t="s">
        <v>203</v>
      </c>
      <c r="G77" s="20"/>
      <c r="H77" s="20" t="s">
        <v>40</v>
      </c>
      <c r="I77" s="20">
        <v>0</v>
      </c>
      <c r="J77" s="22">
        <v>710000000</v>
      </c>
      <c r="K77" s="20" t="s">
        <v>41</v>
      </c>
      <c r="L77" s="20" t="s">
        <v>736</v>
      </c>
      <c r="M77" s="20" t="s">
        <v>42</v>
      </c>
      <c r="N77" s="20" t="s">
        <v>43</v>
      </c>
      <c r="O77" s="23" t="s">
        <v>301</v>
      </c>
      <c r="P77" s="20" t="s">
        <v>302</v>
      </c>
      <c r="Q77" s="20">
        <v>796</v>
      </c>
      <c r="R77" s="20" t="s">
        <v>54</v>
      </c>
      <c r="S77" s="93">
        <v>10</v>
      </c>
      <c r="T77" s="24">
        <v>3125</v>
      </c>
      <c r="U77" s="24">
        <v>0</v>
      </c>
      <c r="V77" s="24">
        <f t="shared" si="7"/>
        <v>0</v>
      </c>
      <c r="W77" s="25"/>
      <c r="X77" s="25">
        <v>2018</v>
      </c>
      <c r="Y77" s="62" t="s">
        <v>724</v>
      </c>
    </row>
    <row r="78" spans="2:25" ht="92.4">
      <c r="B78" s="20" t="s">
        <v>209</v>
      </c>
      <c r="C78" s="20" t="s">
        <v>36</v>
      </c>
      <c r="D78" s="20" t="s">
        <v>205</v>
      </c>
      <c r="E78" s="20" t="s">
        <v>206</v>
      </c>
      <c r="F78" s="20" t="s">
        <v>207</v>
      </c>
      <c r="G78" s="20" t="s">
        <v>208</v>
      </c>
      <c r="H78" s="20" t="s">
        <v>40</v>
      </c>
      <c r="I78" s="20">
        <v>0</v>
      </c>
      <c r="J78" s="22">
        <v>710000000</v>
      </c>
      <c r="K78" s="20" t="s">
        <v>41</v>
      </c>
      <c r="L78" s="20" t="s">
        <v>736</v>
      </c>
      <c r="M78" s="20" t="s">
        <v>42</v>
      </c>
      <c r="N78" s="20" t="s">
        <v>43</v>
      </c>
      <c r="O78" s="23" t="s">
        <v>301</v>
      </c>
      <c r="P78" s="20" t="s">
        <v>302</v>
      </c>
      <c r="Q78" s="20">
        <v>796</v>
      </c>
      <c r="R78" s="20" t="s">
        <v>54</v>
      </c>
      <c r="S78" s="93">
        <v>5</v>
      </c>
      <c r="T78" s="24">
        <v>5000</v>
      </c>
      <c r="U78" s="24">
        <v>0</v>
      </c>
      <c r="V78" s="24">
        <f t="shared" si="7"/>
        <v>0</v>
      </c>
      <c r="W78" s="25"/>
      <c r="X78" s="25">
        <v>2018</v>
      </c>
      <c r="Y78" s="62" t="s">
        <v>724</v>
      </c>
    </row>
    <row r="79" spans="2:25" ht="118.8">
      <c r="B79" s="20" t="s">
        <v>213</v>
      </c>
      <c r="C79" s="20" t="s">
        <v>36</v>
      </c>
      <c r="D79" s="20" t="s">
        <v>210</v>
      </c>
      <c r="E79" s="20" t="s">
        <v>206</v>
      </c>
      <c r="F79" s="20" t="s">
        <v>211</v>
      </c>
      <c r="G79" s="27" t="s">
        <v>212</v>
      </c>
      <c r="H79" s="20" t="s">
        <v>40</v>
      </c>
      <c r="I79" s="20">
        <v>0</v>
      </c>
      <c r="J79" s="22">
        <v>710000000</v>
      </c>
      <c r="K79" s="20" t="s">
        <v>41</v>
      </c>
      <c r="L79" s="20" t="s">
        <v>736</v>
      </c>
      <c r="M79" s="20" t="s">
        <v>42</v>
      </c>
      <c r="N79" s="20" t="s">
        <v>43</v>
      </c>
      <c r="O79" s="23" t="s">
        <v>301</v>
      </c>
      <c r="P79" s="20" t="s">
        <v>302</v>
      </c>
      <c r="Q79" s="20">
        <v>796</v>
      </c>
      <c r="R79" s="20" t="s">
        <v>54</v>
      </c>
      <c r="S79" s="93">
        <v>5</v>
      </c>
      <c r="T79" s="29">
        <f>9700-(9700*12/112)</f>
        <v>8660.7142857142862</v>
      </c>
      <c r="U79" s="29">
        <f t="shared" ref="U79" si="54">S79*T79</f>
        <v>43303.571428571435</v>
      </c>
      <c r="V79" s="24">
        <f t="shared" si="7"/>
        <v>48500.000000000007</v>
      </c>
      <c r="W79" s="25"/>
      <c r="X79" s="25">
        <v>2018</v>
      </c>
      <c r="Y79" s="62"/>
    </row>
    <row r="80" spans="2:25" ht="52.8">
      <c r="B80" s="20" t="s">
        <v>217</v>
      </c>
      <c r="C80" s="20" t="s">
        <v>36</v>
      </c>
      <c r="D80" s="20" t="s">
        <v>214</v>
      </c>
      <c r="E80" s="20" t="s">
        <v>215</v>
      </c>
      <c r="F80" s="20" t="s">
        <v>216</v>
      </c>
      <c r="G80" s="20"/>
      <c r="H80" s="20" t="s">
        <v>40</v>
      </c>
      <c r="I80" s="20">
        <v>0</v>
      </c>
      <c r="J80" s="22">
        <v>710000000</v>
      </c>
      <c r="K80" s="20" t="s">
        <v>41</v>
      </c>
      <c r="L80" s="20" t="s">
        <v>736</v>
      </c>
      <c r="M80" s="20" t="s">
        <v>42</v>
      </c>
      <c r="N80" s="20" t="s">
        <v>43</v>
      </c>
      <c r="O80" s="23" t="s">
        <v>301</v>
      </c>
      <c r="P80" s="20" t="s">
        <v>302</v>
      </c>
      <c r="Q80" s="20">
        <v>778</v>
      </c>
      <c r="R80" s="20" t="s">
        <v>77</v>
      </c>
      <c r="S80" s="93">
        <v>10</v>
      </c>
      <c r="T80" s="29">
        <f>5500-(5500*12/112)</f>
        <v>4910.7142857142853</v>
      </c>
      <c r="U80" s="29">
        <f t="shared" ref="U80" si="55">S80*T80</f>
        <v>49107.142857142855</v>
      </c>
      <c r="V80" s="24">
        <f t="shared" ref="V80" si="56">U80+(U80*12%)</f>
        <v>55000</v>
      </c>
      <c r="W80" s="25"/>
      <c r="X80" s="25">
        <v>2018</v>
      </c>
      <c r="Y80" s="62"/>
    </row>
    <row r="81" spans="2:25" ht="52.8">
      <c r="B81" s="20" t="s">
        <v>221</v>
      </c>
      <c r="C81" s="20" t="s">
        <v>36</v>
      </c>
      <c r="D81" s="20" t="s">
        <v>218</v>
      </c>
      <c r="E81" s="20" t="s">
        <v>219</v>
      </c>
      <c r="F81" s="20" t="s">
        <v>220</v>
      </c>
      <c r="G81" s="20"/>
      <c r="H81" s="20" t="s">
        <v>40</v>
      </c>
      <c r="I81" s="20">
        <v>0</v>
      </c>
      <c r="J81" s="22">
        <v>710000000</v>
      </c>
      <c r="K81" s="20" t="s">
        <v>41</v>
      </c>
      <c r="L81" s="20" t="s">
        <v>736</v>
      </c>
      <c r="M81" s="20" t="s">
        <v>42</v>
      </c>
      <c r="N81" s="20" t="s">
        <v>43</v>
      </c>
      <c r="O81" s="23" t="s">
        <v>301</v>
      </c>
      <c r="P81" s="20" t="s">
        <v>302</v>
      </c>
      <c r="Q81" s="20">
        <v>778</v>
      </c>
      <c r="R81" s="20" t="s">
        <v>77</v>
      </c>
      <c r="S81" s="93">
        <v>14</v>
      </c>
      <c r="T81" s="24">
        <v>695</v>
      </c>
      <c r="U81" s="24">
        <v>0</v>
      </c>
      <c r="V81" s="24">
        <f t="shared" si="7"/>
        <v>0</v>
      </c>
      <c r="W81" s="25"/>
      <c r="X81" s="25">
        <v>2018</v>
      </c>
      <c r="Y81" s="62" t="s">
        <v>724</v>
      </c>
    </row>
    <row r="82" spans="2:25" ht="52.8">
      <c r="B82" s="20" t="s">
        <v>224</v>
      </c>
      <c r="C82" s="20" t="s">
        <v>36</v>
      </c>
      <c r="D82" s="20" t="s">
        <v>110</v>
      </c>
      <c r="E82" s="20" t="s">
        <v>111</v>
      </c>
      <c r="F82" s="20" t="s">
        <v>222</v>
      </c>
      <c r="G82" s="20" t="s">
        <v>223</v>
      </c>
      <c r="H82" s="20" t="s">
        <v>40</v>
      </c>
      <c r="I82" s="20">
        <v>0</v>
      </c>
      <c r="J82" s="22">
        <v>710000000</v>
      </c>
      <c r="K82" s="20" t="s">
        <v>41</v>
      </c>
      <c r="L82" s="20" t="s">
        <v>736</v>
      </c>
      <c r="M82" s="20" t="s">
        <v>42</v>
      </c>
      <c r="N82" s="20" t="s">
        <v>43</v>
      </c>
      <c r="O82" s="23" t="s">
        <v>301</v>
      </c>
      <c r="P82" s="20" t="s">
        <v>302</v>
      </c>
      <c r="Q82" s="20">
        <v>796</v>
      </c>
      <c r="R82" s="20" t="s">
        <v>54</v>
      </c>
      <c r="S82" s="93">
        <v>70</v>
      </c>
      <c r="T82" s="24">
        <v>625</v>
      </c>
      <c r="U82" s="24">
        <v>0</v>
      </c>
      <c r="V82" s="24">
        <f t="shared" si="7"/>
        <v>0</v>
      </c>
      <c r="W82" s="25"/>
      <c r="X82" s="25">
        <v>2018</v>
      </c>
      <c r="Y82" s="62" t="s">
        <v>723</v>
      </c>
    </row>
    <row r="83" spans="2:25" ht="52.8">
      <c r="B83" s="20" t="s">
        <v>733</v>
      </c>
      <c r="C83" s="20" t="s">
        <v>36</v>
      </c>
      <c r="D83" s="20" t="s">
        <v>110</v>
      </c>
      <c r="E83" s="20" t="s">
        <v>111</v>
      </c>
      <c r="F83" s="20" t="s">
        <v>222</v>
      </c>
      <c r="G83" s="20" t="s">
        <v>223</v>
      </c>
      <c r="H83" s="20" t="s">
        <v>40</v>
      </c>
      <c r="I83" s="20">
        <v>0</v>
      </c>
      <c r="J83" s="22">
        <v>710000000</v>
      </c>
      <c r="K83" s="20" t="s">
        <v>41</v>
      </c>
      <c r="L83" s="20" t="s">
        <v>736</v>
      </c>
      <c r="M83" s="20" t="s">
        <v>42</v>
      </c>
      <c r="N83" s="20" t="s">
        <v>43</v>
      </c>
      <c r="O83" s="23" t="s">
        <v>301</v>
      </c>
      <c r="P83" s="20" t="s">
        <v>302</v>
      </c>
      <c r="Q83" s="20">
        <v>796</v>
      </c>
      <c r="R83" s="20" t="s">
        <v>54</v>
      </c>
      <c r="S83" s="93">
        <v>50</v>
      </c>
      <c r="T83" s="29">
        <f>700-(700*12/112)</f>
        <v>625</v>
      </c>
      <c r="U83" s="29">
        <f t="shared" ref="U83" si="57">S83*T83</f>
        <v>31250</v>
      </c>
      <c r="V83" s="24">
        <f t="shared" si="7"/>
        <v>35000</v>
      </c>
      <c r="W83" s="25"/>
      <c r="X83" s="25">
        <v>2018</v>
      </c>
      <c r="Y83" s="62"/>
    </row>
    <row r="84" spans="2:25" ht="52.8">
      <c r="B84" s="20" t="s">
        <v>228</v>
      </c>
      <c r="C84" s="20" t="s">
        <v>36</v>
      </c>
      <c r="D84" s="20" t="s">
        <v>225</v>
      </c>
      <c r="E84" s="20" t="s">
        <v>226</v>
      </c>
      <c r="F84" s="20" t="s">
        <v>227</v>
      </c>
      <c r="G84" s="20"/>
      <c r="H84" s="20" t="s">
        <v>40</v>
      </c>
      <c r="I84" s="20">
        <v>0</v>
      </c>
      <c r="J84" s="22">
        <v>710000000</v>
      </c>
      <c r="K84" s="20" t="s">
        <v>41</v>
      </c>
      <c r="L84" s="20" t="s">
        <v>736</v>
      </c>
      <c r="M84" s="20" t="s">
        <v>42</v>
      </c>
      <c r="N84" s="20" t="s">
        <v>43</v>
      </c>
      <c r="O84" s="23" t="s">
        <v>301</v>
      </c>
      <c r="P84" s="20" t="s">
        <v>302</v>
      </c>
      <c r="Q84" s="20">
        <v>796</v>
      </c>
      <c r="R84" s="20" t="s">
        <v>54</v>
      </c>
      <c r="S84" s="93">
        <v>14</v>
      </c>
      <c r="T84" s="29">
        <f>95-(95*12/112)</f>
        <v>84.821428571428569</v>
      </c>
      <c r="U84" s="24">
        <v>0</v>
      </c>
      <c r="V84" s="24">
        <f t="shared" si="7"/>
        <v>0</v>
      </c>
      <c r="W84" s="25"/>
      <c r="X84" s="25">
        <v>2018</v>
      </c>
      <c r="Y84" s="62" t="s">
        <v>723</v>
      </c>
    </row>
    <row r="85" spans="2:25" ht="52.8">
      <c r="B85" s="20" t="s">
        <v>762</v>
      </c>
      <c r="C85" s="20" t="s">
        <v>36</v>
      </c>
      <c r="D85" s="20" t="s">
        <v>225</v>
      </c>
      <c r="E85" s="20" t="s">
        <v>226</v>
      </c>
      <c r="F85" s="20" t="s">
        <v>227</v>
      </c>
      <c r="G85" s="20"/>
      <c r="H85" s="20" t="s">
        <v>40</v>
      </c>
      <c r="I85" s="20">
        <v>0</v>
      </c>
      <c r="J85" s="22">
        <v>710000000</v>
      </c>
      <c r="K85" s="20" t="s">
        <v>41</v>
      </c>
      <c r="L85" s="20" t="s">
        <v>736</v>
      </c>
      <c r="M85" s="20" t="s">
        <v>42</v>
      </c>
      <c r="N85" s="20" t="s">
        <v>43</v>
      </c>
      <c r="O85" s="23" t="s">
        <v>301</v>
      </c>
      <c r="P85" s="20" t="s">
        <v>302</v>
      </c>
      <c r="Q85" s="20">
        <v>796</v>
      </c>
      <c r="R85" s="20" t="s">
        <v>54</v>
      </c>
      <c r="S85" s="93">
        <v>10</v>
      </c>
      <c r="T85" s="29">
        <f>95-(95*12/112)</f>
        <v>84.821428571428569</v>
      </c>
      <c r="U85" s="29">
        <f t="shared" ref="U85" si="58">S85*T85</f>
        <v>848.21428571428567</v>
      </c>
      <c r="V85" s="24">
        <f t="shared" ref="V85" si="59">U85+(U85*12%)</f>
        <v>950</v>
      </c>
      <c r="W85" s="25"/>
      <c r="X85" s="25">
        <v>2018</v>
      </c>
      <c r="Y85" s="62"/>
    </row>
    <row r="86" spans="2:25" ht="52.8">
      <c r="B86" s="20" t="s">
        <v>232</v>
      </c>
      <c r="C86" s="20" t="s">
        <v>36</v>
      </c>
      <c r="D86" s="20" t="s">
        <v>229</v>
      </c>
      <c r="E86" s="20" t="s">
        <v>226</v>
      </c>
      <c r="F86" s="20" t="s">
        <v>230</v>
      </c>
      <c r="G86" s="20" t="s">
        <v>231</v>
      </c>
      <c r="H86" s="20" t="s">
        <v>40</v>
      </c>
      <c r="I86" s="20">
        <v>0</v>
      </c>
      <c r="J86" s="22">
        <v>710000000</v>
      </c>
      <c r="K86" s="20" t="s">
        <v>41</v>
      </c>
      <c r="L86" s="20" t="s">
        <v>736</v>
      </c>
      <c r="M86" s="20" t="s">
        <v>42</v>
      </c>
      <c r="N86" s="20" t="s">
        <v>43</v>
      </c>
      <c r="O86" s="23" t="s">
        <v>301</v>
      </c>
      <c r="P86" s="20" t="s">
        <v>302</v>
      </c>
      <c r="Q86" s="20">
        <v>796</v>
      </c>
      <c r="R86" s="20" t="s">
        <v>54</v>
      </c>
      <c r="S86" s="93">
        <v>1</v>
      </c>
      <c r="T86" s="29">
        <f>3900-(3900*12/112)</f>
        <v>3482.1428571428573</v>
      </c>
      <c r="U86" s="29">
        <f t="shared" ref="U86" si="60">S86*T86</f>
        <v>3482.1428571428573</v>
      </c>
      <c r="V86" s="24">
        <f t="shared" ref="V86" si="61">U86+(U86*12%)</f>
        <v>3900</v>
      </c>
      <c r="W86" s="25"/>
      <c r="X86" s="25">
        <v>2018</v>
      </c>
      <c r="Y86" s="62"/>
    </row>
    <row r="87" spans="2:25" ht="52.8">
      <c r="B87" s="20" t="s">
        <v>236</v>
      </c>
      <c r="C87" s="20" t="s">
        <v>36</v>
      </c>
      <c r="D87" s="20" t="s">
        <v>233</v>
      </c>
      <c r="E87" s="20" t="s">
        <v>234</v>
      </c>
      <c r="F87" s="20" t="s">
        <v>235</v>
      </c>
      <c r="G87" s="20"/>
      <c r="H87" s="20" t="s">
        <v>40</v>
      </c>
      <c r="I87" s="20">
        <v>0</v>
      </c>
      <c r="J87" s="22">
        <v>710000000</v>
      </c>
      <c r="K87" s="20" t="s">
        <v>41</v>
      </c>
      <c r="L87" s="20" t="s">
        <v>736</v>
      </c>
      <c r="M87" s="20" t="s">
        <v>42</v>
      </c>
      <c r="N87" s="20" t="s">
        <v>43</v>
      </c>
      <c r="O87" s="23" t="s">
        <v>301</v>
      </c>
      <c r="P87" s="20" t="s">
        <v>302</v>
      </c>
      <c r="Q87" s="20">
        <v>796</v>
      </c>
      <c r="R87" s="20" t="s">
        <v>54</v>
      </c>
      <c r="S87" s="93">
        <v>10</v>
      </c>
      <c r="T87" s="29">
        <f>800-(800*12/112)</f>
        <v>714.28571428571433</v>
      </c>
      <c r="U87" s="24">
        <v>0</v>
      </c>
      <c r="V87" s="24">
        <f t="shared" si="7"/>
        <v>0</v>
      </c>
      <c r="W87" s="25"/>
      <c r="X87" s="25">
        <v>2018</v>
      </c>
      <c r="Y87" s="62" t="s">
        <v>723</v>
      </c>
    </row>
    <row r="88" spans="2:25" ht="52.8">
      <c r="B88" s="20" t="s">
        <v>734</v>
      </c>
      <c r="C88" s="20" t="s">
        <v>36</v>
      </c>
      <c r="D88" s="20" t="s">
        <v>233</v>
      </c>
      <c r="E88" s="20" t="s">
        <v>234</v>
      </c>
      <c r="F88" s="20" t="s">
        <v>235</v>
      </c>
      <c r="G88" s="20"/>
      <c r="H88" s="20" t="s">
        <v>40</v>
      </c>
      <c r="I88" s="20">
        <v>0</v>
      </c>
      <c r="J88" s="22">
        <v>710000000</v>
      </c>
      <c r="K88" s="20" t="s">
        <v>41</v>
      </c>
      <c r="L88" s="20" t="s">
        <v>736</v>
      </c>
      <c r="M88" s="20" t="s">
        <v>42</v>
      </c>
      <c r="N88" s="20" t="s">
        <v>43</v>
      </c>
      <c r="O88" s="23" t="s">
        <v>301</v>
      </c>
      <c r="P88" s="20" t="s">
        <v>302</v>
      </c>
      <c r="Q88" s="20">
        <v>796</v>
      </c>
      <c r="R88" s="20" t="s">
        <v>54</v>
      </c>
      <c r="S88" s="93">
        <v>5</v>
      </c>
      <c r="T88" s="29">
        <f>800-(800*12/112)</f>
        <v>714.28571428571433</v>
      </c>
      <c r="U88" s="29">
        <f t="shared" ref="U88" si="62">S88*T88</f>
        <v>3571.4285714285716</v>
      </c>
      <c r="V88" s="24">
        <f t="shared" si="7"/>
        <v>4000</v>
      </c>
      <c r="W88" s="25"/>
      <c r="X88" s="25">
        <v>2018</v>
      </c>
      <c r="Y88" s="62"/>
    </row>
    <row r="89" spans="2:25" ht="52.8">
      <c r="B89" s="20" t="s">
        <v>238</v>
      </c>
      <c r="C89" s="20" t="s">
        <v>36</v>
      </c>
      <c r="D89" s="20" t="s">
        <v>233</v>
      </c>
      <c r="E89" s="20" t="s">
        <v>234</v>
      </c>
      <c r="F89" s="20" t="s">
        <v>237</v>
      </c>
      <c r="G89" s="20"/>
      <c r="H89" s="20" t="s">
        <v>40</v>
      </c>
      <c r="I89" s="20">
        <v>0</v>
      </c>
      <c r="J89" s="22">
        <v>710000000</v>
      </c>
      <c r="K89" s="20" t="s">
        <v>41</v>
      </c>
      <c r="L89" s="20" t="s">
        <v>736</v>
      </c>
      <c r="M89" s="20" t="s">
        <v>42</v>
      </c>
      <c r="N89" s="20" t="s">
        <v>43</v>
      </c>
      <c r="O89" s="23" t="s">
        <v>301</v>
      </c>
      <c r="P89" s="20" t="s">
        <v>302</v>
      </c>
      <c r="Q89" s="20">
        <v>796</v>
      </c>
      <c r="R89" s="20" t="s">
        <v>54</v>
      </c>
      <c r="S89" s="93">
        <v>40</v>
      </c>
      <c r="T89" s="29">
        <f>500-(500*12/112)</f>
        <v>446.42857142857144</v>
      </c>
      <c r="U89" s="24">
        <v>0</v>
      </c>
      <c r="V89" s="24">
        <f t="shared" si="7"/>
        <v>0</v>
      </c>
      <c r="W89" s="25"/>
      <c r="X89" s="25">
        <v>2018</v>
      </c>
      <c r="Y89" s="62" t="s">
        <v>723</v>
      </c>
    </row>
    <row r="90" spans="2:25" ht="52.8">
      <c r="B90" s="20" t="s">
        <v>735</v>
      </c>
      <c r="C90" s="20" t="s">
        <v>36</v>
      </c>
      <c r="D90" s="20" t="s">
        <v>233</v>
      </c>
      <c r="E90" s="20" t="s">
        <v>234</v>
      </c>
      <c r="F90" s="20" t="s">
        <v>237</v>
      </c>
      <c r="G90" s="20"/>
      <c r="H90" s="20" t="s">
        <v>40</v>
      </c>
      <c r="I90" s="20">
        <v>0</v>
      </c>
      <c r="J90" s="22">
        <v>710000000</v>
      </c>
      <c r="K90" s="20" t="s">
        <v>41</v>
      </c>
      <c r="L90" s="20" t="s">
        <v>736</v>
      </c>
      <c r="M90" s="20" t="s">
        <v>42</v>
      </c>
      <c r="N90" s="20" t="s">
        <v>43</v>
      </c>
      <c r="O90" s="23" t="s">
        <v>301</v>
      </c>
      <c r="P90" s="20" t="s">
        <v>302</v>
      </c>
      <c r="Q90" s="20">
        <v>796</v>
      </c>
      <c r="R90" s="20" t="s">
        <v>54</v>
      </c>
      <c r="S90" s="93">
        <v>5</v>
      </c>
      <c r="T90" s="29">
        <f>500-(500*12/112)</f>
        <v>446.42857142857144</v>
      </c>
      <c r="U90" s="29">
        <f t="shared" ref="U90" si="63">S90*T90</f>
        <v>2232.1428571428573</v>
      </c>
      <c r="V90" s="24">
        <f t="shared" ref="V90" si="64">U90+(U90*12%)</f>
        <v>2500</v>
      </c>
      <c r="W90" s="25"/>
      <c r="X90" s="25">
        <v>2018</v>
      </c>
      <c r="Y90" s="62"/>
    </row>
    <row r="91" spans="2:25" ht="52.8">
      <c r="B91" s="20" t="s">
        <v>242</v>
      </c>
      <c r="C91" s="20" t="s">
        <v>36</v>
      </c>
      <c r="D91" s="20" t="s">
        <v>110</v>
      </c>
      <c r="E91" s="20" t="s">
        <v>239</v>
      </c>
      <c r="F91" s="20" t="s">
        <v>240</v>
      </c>
      <c r="G91" s="20" t="s">
        <v>241</v>
      </c>
      <c r="H91" s="20" t="s">
        <v>40</v>
      </c>
      <c r="I91" s="20">
        <v>0</v>
      </c>
      <c r="J91" s="22">
        <v>710000000</v>
      </c>
      <c r="K91" s="20" t="s">
        <v>41</v>
      </c>
      <c r="L91" s="20" t="s">
        <v>736</v>
      </c>
      <c r="M91" s="20" t="s">
        <v>42</v>
      </c>
      <c r="N91" s="20" t="s">
        <v>43</v>
      </c>
      <c r="O91" s="23" t="s">
        <v>301</v>
      </c>
      <c r="P91" s="20" t="s">
        <v>302</v>
      </c>
      <c r="Q91" s="20">
        <v>796</v>
      </c>
      <c r="R91" s="20" t="s">
        <v>54</v>
      </c>
      <c r="S91" s="93">
        <v>7</v>
      </c>
      <c r="T91" s="29">
        <f>1500-(1500*12/112)</f>
        <v>1339.2857142857142</v>
      </c>
      <c r="U91" s="24">
        <v>0</v>
      </c>
      <c r="V91" s="24">
        <f t="shared" si="7"/>
        <v>0</v>
      </c>
      <c r="W91" s="25"/>
      <c r="X91" s="25">
        <v>2018</v>
      </c>
      <c r="Y91" s="62" t="s">
        <v>723</v>
      </c>
    </row>
    <row r="92" spans="2:25" ht="52.8">
      <c r="B92" s="20" t="s">
        <v>763</v>
      </c>
      <c r="C92" s="20" t="s">
        <v>36</v>
      </c>
      <c r="D92" s="20" t="s">
        <v>110</v>
      </c>
      <c r="E92" s="20" t="s">
        <v>239</v>
      </c>
      <c r="F92" s="20" t="s">
        <v>240</v>
      </c>
      <c r="G92" s="20" t="s">
        <v>241</v>
      </c>
      <c r="H92" s="20" t="s">
        <v>40</v>
      </c>
      <c r="I92" s="20">
        <v>0</v>
      </c>
      <c r="J92" s="22">
        <v>710000000</v>
      </c>
      <c r="K92" s="20" t="s">
        <v>41</v>
      </c>
      <c r="L92" s="20" t="s">
        <v>736</v>
      </c>
      <c r="M92" s="20" t="s">
        <v>42</v>
      </c>
      <c r="N92" s="20" t="s">
        <v>43</v>
      </c>
      <c r="O92" s="23" t="s">
        <v>301</v>
      </c>
      <c r="P92" s="20" t="s">
        <v>302</v>
      </c>
      <c r="Q92" s="20">
        <v>796</v>
      </c>
      <c r="R92" s="20" t="s">
        <v>54</v>
      </c>
      <c r="S92" s="93">
        <v>5</v>
      </c>
      <c r="T92" s="29">
        <f>1500-(1500*12/112)</f>
        <v>1339.2857142857142</v>
      </c>
      <c r="U92" s="29">
        <f t="shared" ref="U92" si="65">S92*T92</f>
        <v>6696.4285714285706</v>
      </c>
      <c r="V92" s="24">
        <f t="shared" si="7"/>
        <v>7499.9999999999991</v>
      </c>
      <c r="W92" s="25"/>
      <c r="X92" s="25">
        <v>2018</v>
      </c>
      <c r="Y92" s="62"/>
    </row>
    <row r="93" spans="2:25" ht="52.8">
      <c r="B93" s="20" t="s">
        <v>246</v>
      </c>
      <c r="C93" s="20" t="s">
        <v>36</v>
      </c>
      <c r="D93" s="20" t="s">
        <v>243</v>
      </c>
      <c r="E93" s="20" t="s">
        <v>244</v>
      </c>
      <c r="F93" s="20" t="s">
        <v>245</v>
      </c>
      <c r="G93" s="20"/>
      <c r="H93" s="20" t="s">
        <v>40</v>
      </c>
      <c r="I93" s="20">
        <v>0</v>
      </c>
      <c r="J93" s="22">
        <v>710000000</v>
      </c>
      <c r="K93" s="20" t="s">
        <v>41</v>
      </c>
      <c r="L93" s="20" t="s">
        <v>736</v>
      </c>
      <c r="M93" s="20" t="s">
        <v>42</v>
      </c>
      <c r="N93" s="20" t="s">
        <v>43</v>
      </c>
      <c r="O93" s="23" t="s">
        <v>301</v>
      </c>
      <c r="P93" s="20" t="s">
        <v>302</v>
      </c>
      <c r="Q93" s="20">
        <v>796</v>
      </c>
      <c r="R93" s="20" t="s">
        <v>54</v>
      </c>
      <c r="S93" s="93">
        <v>1</v>
      </c>
      <c r="T93" s="24">
        <v>1150</v>
      </c>
      <c r="U93" s="24">
        <v>0</v>
      </c>
      <c r="V93" s="24">
        <f t="shared" si="7"/>
        <v>0</v>
      </c>
      <c r="W93" s="25"/>
      <c r="X93" s="25">
        <v>2018</v>
      </c>
      <c r="Y93" s="62" t="s">
        <v>724</v>
      </c>
    </row>
    <row r="94" spans="2:25" ht="52.8">
      <c r="B94" s="20" t="s">
        <v>250</v>
      </c>
      <c r="C94" s="20" t="s">
        <v>36</v>
      </c>
      <c r="D94" s="20" t="s">
        <v>247</v>
      </c>
      <c r="E94" s="28" t="s">
        <v>248</v>
      </c>
      <c r="F94" s="28" t="s">
        <v>249</v>
      </c>
      <c r="G94" s="28"/>
      <c r="H94" s="28" t="s">
        <v>40</v>
      </c>
      <c r="I94" s="28">
        <v>0</v>
      </c>
      <c r="J94" s="22">
        <v>710000000</v>
      </c>
      <c r="K94" s="28" t="s">
        <v>41</v>
      </c>
      <c r="L94" s="20" t="s">
        <v>736</v>
      </c>
      <c r="M94" s="28" t="s">
        <v>42</v>
      </c>
      <c r="N94" s="28" t="s">
        <v>43</v>
      </c>
      <c r="O94" s="23" t="s">
        <v>301</v>
      </c>
      <c r="P94" s="20" t="s">
        <v>302</v>
      </c>
      <c r="Q94" s="28">
        <v>796</v>
      </c>
      <c r="R94" s="28" t="s">
        <v>54</v>
      </c>
      <c r="S94" s="94">
        <v>1</v>
      </c>
      <c r="T94" s="29">
        <f>650-(650*12/112)</f>
        <v>580.35714285714289</v>
      </c>
      <c r="U94" s="29">
        <f t="shared" ref="U94" si="66">S94*T94</f>
        <v>580.35714285714289</v>
      </c>
      <c r="V94" s="24">
        <f t="shared" ref="V94" si="67">U94+(U94*12%)</f>
        <v>650</v>
      </c>
      <c r="W94" s="30"/>
      <c r="X94" s="25">
        <v>2018</v>
      </c>
      <c r="Y94" s="62"/>
    </row>
    <row r="95" spans="2:25" ht="52.8">
      <c r="B95" s="20" t="s">
        <v>253</v>
      </c>
      <c r="C95" s="20" t="s">
        <v>36</v>
      </c>
      <c r="D95" s="20" t="s">
        <v>37</v>
      </c>
      <c r="E95" s="20" t="s">
        <v>38</v>
      </c>
      <c r="F95" s="20" t="s">
        <v>251</v>
      </c>
      <c r="G95" s="20" t="s">
        <v>252</v>
      </c>
      <c r="H95" s="20" t="s">
        <v>40</v>
      </c>
      <c r="I95" s="20">
        <v>0</v>
      </c>
      <c r="J95" s="22">
        <v>710000000</v>
      </c>
      <c r="K95" s="20" t="s">
        <v>41</v>
      </c>
      <c r="L95" s="20" t="s">
        <v>736</v>
      </c>
      <c r="M95" s="20" t="s">
        <v>42</v>
      </c>
      <c r="N95" s="20" t="s">
        <v>43</v>
      </c>
      <c r="O95" s="23" t="s">
        <v>301</v>
      </c>
      <c r="P95" s="20" t="s">
        <v>302</v>
      </c>
      <c r="Q95" s="20">
        <v>5111</v>
      </c>
      <c r="R95" s="20" t="s">
        <v>44</v>
      </c>
      <c r="S95" s="93">
        <v>5</v>
      </c>
      <c r="T95" s="24">
        <v>2230</v>
      </c>
      <c r="U95" s="24">
        <v>0</v>
      </c>
      <c r="V95" s="24">
        <f t="shared" si="7"/>
        <v>0</v>
      </c>
      <c r="W95" s="25"/>
      <c r="X95" s="25">
        <v>2018</v>
      </c>
      <c r="Y95" s="62" t="s">
        <v>724</v>
      </c>
    </row>
    <row r="96" spans="2:25" ht="52.8">
      <c r="B96" s="20" t="s">
        <v>257</v>
      </c>
      <c r="C96" s="20" t="s">
        <v>36</v>
      </c>
      <c r="D96" s="20" t="s">
        <v>254</v>
      </c>
      <c r="E96" s="20" t="s">
        <v>255</v>
      </c>
      <c r="F96" s="20" t="s">
        <v>256</v>
      </c>
      <c r="G96" s="20"/>
      <c r="H96" s="20" t="s">
        <v>40</v>
      </c>
      <c r="I96" s="20">
        <v>0</v>
      </c>
      <c r="J96" s="22">
        <v>710000000</v>
      </c>
      <c r="K96" s="20" t="s">
        <v>41</v>
      </c>
      <c r="L96" s="20" t="s">
        <v>736</v>
      </c>
      <c r="M96" s="20" t="s">
        <v>42</v>
      </c>
      <c r="N96" s="20" t="s">
        <v>43</v>
      </c>
      <c r="O96" s="23" t="s">
        <v>301</v>
      </c>
      <c r="P96" s="20" t="s">
        <v>302</v>
      </c>
      <c r="Q96" s="20">
        <v>796</v>
      </c>
      <c r="R96" s="20" t="s">
        <v>54</v>
      </c>
      <c r="S96" s="93">
        <v>20</v>
      </c>
      <c r="T96" s="24">
        <v>151.78</v>
      </c>
      <c r="U96" s="24">
        <v>0</v>
      </c>
      <c r="V96" s="24">
        <f t="shared" si="7"/>
        <v>0</v>
      </c>
      <c r="W96" s="25"/>
      <c r="X96" s="25">
        <v>2018</v>
      </c>
      <c r="Y96" s="62" t="s">
        <v>724</v>
      </c>
    </row>
    <row r="97" spans="2:25" ht="52.8">
      <c r="B97" s="20" t="s">
        <v>260</v>
      </c>
      <c r="C97" s="20" t="s">
        <v>36</v>
      </c>
      <c r="D97" s="20" t="s">
        <v>258</v>
      </c>
      <c r="E97" s="20" t="s">
        <v>255</v>
      </c>
      <c r="F97" s="20" t="s">
        <v>259</v>
      </c>
      <c r="G97" s="20"/>
      <c r="H97" s="20" t="s">
        <v>40</v>
      </c>
      <c r="I97" s="20">
        <v>0</v>
      </c>
      <c r="J97" s="22">
        <v>710000000</v>
      </c>
      <c r="K97" s="20" t="s">
        <v>41</v>
      </c>
      <c r="L97" s="20" t="s">
        <v>736</v>
      </c>
      <c r="M97" s="20" t="s">
        <v>42</v>
      </c>
      <c r="N97" s="20" t="s">
        <v>43</v>
      </c>
      <c r="O97" s="23" t="s">
        <v>301</v>
      </c>
      <c r="P97" s="20" t="s">
        <v>302</v>
      </c>
      <c r="Q97" s="20">
        <v>796</v>
      </c>
      <c r="R97" s="20" t="s">
        <v>54</v>
      </c>
      <c r="S97" s="93">
        <v>20</v>
      </c>
      <c r="T97" s="24">
        <v>133.91999999999999</v>
      </c>
      <c r="U97" s="24">
        <v>0</v>
      </c>
      <c r="V97" s="24">
        <f t="shared" si="7"/>
        <v>0</v>
      </c>
      <c r="W97" s="25"/>
      <c r="X97" s="25">
        <v>2018</v>
      </c>
      <c r="Y97" s="62" t="s">
        <v>724</v>
      </c>
    </row>
    <row r="98" spans="2:25" ht="52.8">
      <c r="B98" s="20" t="s">
        <v>264</v>
      </c>
      <c r="C98" s="20" t="s">
        <v>36</v>
      </c>
      <c r="D98" s="20" t="s">
        <v>261</v>
      </c>
      <c r="E98" s="20" t="s">
        <v>262</v>
      </c>
      <c r="F98" s="20" t="s">
        <v>263</v>
      </c>
      <c r="G98" s="20"/>
      <c r="H98" s="20" t="s">
        <v>40</v>
      </c>
      <c r="I98" s="20">
        <v>0</v>
      </c>
      <c r="J98" s="22">
        <v>710000000</v>
      </c>
      <c r="K98" s="20" t="s">
        <v>41</v>
      </c>
      <c r="L98" s="20" t="s">
        <v>736</v>
      </c>
      <c r="M98" s="20" t="s">
        <v>42</v>
      </c>
      <c r="N98" s="20" t="s">
        <v>43</v>
      </c>
      <c r="O98" s="23" t="s">
        <v>301</v>
      </c>
      <c r="P98" s="20" t="s">
        <v>302</v>
      </c>
      <c r="Q98" s="20">
        <v>796</v>
      </c>
      <c r="R98" s="20" t="s">
        <v>54</v>
      </c>
      <c r="S98" s="93">
        <v>40</v>
      </c>
      <c r="T98" s="24">
        <v>31.25</v>
      </c>
      <c r="U98" s="24">
        <v>0</v>
      </c>
      <c r="V98" s="24">
        <f t="shared" si="7"/>
        <v>0</v>
      </c>
      <c r="W98" s="25"/>
      <c r="X98" s="25">
        <v>2018</v>
      </c>
      <c r="Y98" s="62" t="s">
        <v>724</v>
      </c>
    </row>
    <row r="99" spans="2:25" ht="52.8">
      <c r="B99" s="20" t="s">
        <v>267</v>
      </c>
      <c r="C99" s="20" t="s">
        <v>36</v>
      </c>
      <c r="D99" s="20" t="s">
        <v>265</v>
      </c>
      <c r="E99" s="20" t="s">
        <v>111</v>
      </c>
      <c r="F99" s="20" t="s">
        <v>266</v>
      </c>
      <c r="G99" s="20"/>
      <c r="H99" s="20" t="s">
        <v>40</v>
      </c>
      <c r="I99" s="20">
        <v>0</v>
      </c>
      <c r="J99" s="22">
        <v>710000000</v>
      </c>
      <c r="K99" s="20" t="s">
        <v>41</v>
      </c>
      <c r="L99" s="20" t="s">
        <v>736</v>
      </c>
      <c r="M99" s="20" t="s">
        <v>42</v>
      </c>
      <c r="N99" s="20" t="s">
        <v>43</v>
      </c>
      <c r="O99" s="23" t="s">
        <v>301</v>
      </c>
      <c r="P99" s="20" t="s">
        <v>302</v>
      </c>
      <c r="Q99" s="20">
        <v>796</v>
      </c>
      <c r="R99" s="20" t="s">
        <v>54</v>
      </c>
      <c r="S99" s="93">
        <v>20</v>
      </c>
      <c r="T99" s="24">
        <v>758</v>
      </c>
      <c r="U99" s="24">
        <v>0</v>
      </c>
      <c r="V99" s="24">
        <f t="shared" si="7"/>
        <v>0</v>
      </c>
      <c r="W99" s="25"/>
      <c r="X99" s="25">
        <v>2018</v>
      </c>
      <c r="Y99" s="62" t="s">
        <v>724</v>
      </c>
    </row>
    <row r="100" spans="2:25" ht="52.8">
      <c r="B100" s="20" t="s">
        <v>271</v>
      </c>
      <c r="C100" s="20" t="s">
        <v>36</v>
      </c>
      <c r="D100" s="20" t="s">
        <v>268</v>
      </c>
      <c r="E100" s="20" t="s">
        <v>269</v>
      </c>
      <c r="F100" s="20" t="s">
        <v>270</v>
      </c>
      <c r="G100" s="20"/>
      <c r="H100" s="20" t="s">
        <v>40</v>
      </c>
      <c r="I100" s="20">
        <v>0</v>
      </c>
      <c r="J100" s="22">
        <v>710000000</v>
      </c>
      <c r="K100" s="20" t="s">
        <v>41</v>
      </c>
      <c r="L100" s="20" t="s">
        <v>736</v>
      </c>
      <c r="M100" s="20" t="s">
        <v>42</v>
      </c>
      <c r="N100" s="20" t="s">
        <v>43</v>
      </c>
      <c r="O100" s="23" t="s">
        <v>301</v>
      </c>
      <c r="P100" s="20" t="s">
        <v>302</v>
      </c>
      <c r="Q100" s="20">
        <v>796</v>
      </c>
      <c r="R100" s="20" t="s">
        <v>54</v>
      </c>
      <c r="S100" s="93">
        <v>20</v>
      </c>
      <c r="T100" s="29">
        <f>250-(250*12/112)</f>
        <v>223.21428571428572</v>
      </c>
      <c r="U100" s="24">
        <v>0</v>
      </c>
      <c r="V100" s="24">
        <f t="shared" si="7"/>
        <v>0</v>
      </c>
      <c r="W100" s="25"/>
      <c r="X100" s="25">
        <v>2018</v>
      </c>
      <c r="Y100" s="62" t="s">
        <v>723</v>
      </c>
    </row>
    <row r="101" spans="2:25" ht="52.8">
      <c r="B101" s="20" t="s">
        <v>764</v>
      </c>
      <c r="C101" s="20" t="s">
        <v>36</v>
      </c>
      <c r="D101" s="20" t="s">
        <v>268</v>
      </c>
      <c r="E101" s="20" t="s">
        <v>269</v>
      </c>
      <c r="F101" s="20" t="s">
        <v>270</v>
      </c>
      <c r="G101" s="20"/>
      <c r="H101" s="20" t="s">
        <v>40</v>
      </c>
      <c r="I101" s="20">
        <v>0</v>
      </c>
      <c r="J101" s="22">
        <v>710000000</v>
      </c>
      <c r="K101" s="20" t="s">
        <v>41</v>
      </c>
      <c r="L101" s="20" t="s">
        <v>736</v>
      </c>
      <c r="M101" s="20" t="s">
        <v>42</v>
      </c>
      <c r="N101" s="20" t="s">
        <v>43</v>
      </c>
      <c r="O101" s="23" t="s">
        <v>301</v>
      </c>
      <c r="P101" s="20" t="s">
        <v>302</v>
      </c>
      <c r="Q101" s="20">
        <v>796</v>
      </c>
      <c r="R101" s="20" t="s">
        <v>54</v>
      </c>
      <c r="S101" s="93">
        <v>10</v>
      </c>
      <c r="T101" s="29">
        <f>250-(250*12/112)</f>
        <v>223.21428571428572</v>
      </c>
      <c r="U101" s="29">
        <f t="shared" ref="U101" si="68">S101*T101</f>
        <v>2232.1428571428573</v>
      </c>
      <c r="V101" s="24">
        <f t="shared" ref="V101" si="69">U101+(U101*12%)</f>
        <v>2500</v>
      </c>
      <c r="W101" s="25"/>
      <c r="X101" s="25">
        <v>2018</v>
      </c>
      <c r="Y101" s="62"/>
    </row>
    <row r="102" spans="2:25" ht="52.8">
      <c r="B102" s="20" t="s">
        <v>275</v>
      </c>
      <c r="C102" s="20" t="s">
        <v>36</v>
      </c>
      <c r="D102" s="20" t="s">
        <v>272</v>
      </c>
      <c r="E102" s="20" t="s">
        <v>273</v>
      </c>
      <c r="F102" s="20" t="s">
        <v>274</v>
      </c>
      <c r="G102" s="20"/>
      <c r="H102" s="20" t="s">
        <v>40</v>
      </c>
      <c r="I102" s="20">
        <v>0</v>
      </c>
      <c r="J102" s="22">
        <v>710000000</v>
      </c>
      <c r="K102" s="20" t="s">
        <v>41</v>
      </c>
      <c r="L102" s="20" t="s">
        <v>736</v>
      </c>
      <c r="M102" s="20" t="s">
        <v>42</v>
      </c>
      <c r="N102" s="20" t="s">
        <v>43</v>
      </c>
      <c r="O102" s="23" t="s">
        <v>301</v>
      </c>
      <c r="P102" s="20" t="s">
        <v>302</v>
      </c>
      <c r="Q102" s="20">
        <v>796</v>
      </c>
      <c r="R102" s="20" t="s">
        <v>54</v>
      </c>
      <c r="S102" s="93">
        <v>1</v>
      </c>
      <c r="T102" s="24">
        <v>22320</v>
      </c>
      <c r="U102" s="24">
        <v>0</v>
      </c>
      <c r="V102" s="24">
        <f t="shared" ref="V102:V111" si="70">U102+(U102*12%)</f>
        <v>0</v>
      </c>
      <c r="W102" s="25"/>
      <c r="X102" s="25">
        <v>2018</v>
      </c>
      <c r="Y102" s="62" t="s">
        <v>724</v>
      </c>
    </row>
    <row r="103" spans="2:25" ht="52.8">
      <c r="B103" s="20" t="s">
        <v>278</v>
      </c>
      <c r="C103" s="20" t="s">
        <v>36</v>
      </c>
      <c r="D103" s="20" t="s">
        <v>276</v>
      </c>
      <c r="E103" s="20" t="s">
        <v>277</v>
      </c>
      <c r="F103" s="20" t="s">
        <v>277</v>
      </c>
      <c r="G103" s="20"/>
      <c r="H103" s="20" t="s">
        <v>40</v>
      </c>
      <c r="I103" s="20">
        <v>0</v>
      </c>
      <c r="J103" s="22">
        <v>710000000</v>
      </c>
      <c r="K103" s="20" t="s">
        <v>41</v>
      </c>
      <c r="L103" s="20" t="s">
        <v>736</v>
      </c>
      <c r="M103" s="20" t="s">
        <v>42</v>
      </c>
      <c r="N103" s="20" t="s">
        <v>43</v>
      </c>
      <c r="O103" s="23" t="s">
        <v>301</v>
      </c>
      <c r="P103" s="20" t="s">
        <v>302</v>
      </c>
      <c r="Q103" s="20">
        <v>796</v>
      </c>
      <c r="R103" s="20" t="s">
        <v>54</v>
      </c>
      <c r="S103" s="93">
        <v>1</v>
      </c>
      <c r="T103" s="29">
        <f>40000-(40000*12/112)</f>
        <v>35714.285714285717</v>
      </c>
      <c r="U103" s="29">
        <f t="shared" ref="U103" si="71">S103*T103</f>
        <v>35714.285714285717</v>
      </c>
      <c r="V103" s="24">
        <f t="shared" si="70"/>
        <v>40000</v>
      </c>
      <c r="W103" s="25"/>
      <c r="X103" s="25">
        <v>2018</v>
      </c>
      <c r="Y103" s="62"/>
    </row>
    <row r="104" spans="2:25" ht="52.8">
      <c r="B104" s="20" t="s">
        <v>282</v>
      </c>
      <c r="C104" s="20" t="s">
        <v>36</v>
      </c>
      <c r="D104" s="20" t="s">
        <v>279</v>
      </c>
      <c r="E104" s="20" t="s">
        <v>280</v>
      </c>
      <c r="F104" s="20" t="s">
        <v>281</v>
      </c>
      <c r="G104" s="20"/>
      <c r="H104" s="20" t="s">
        <v>40</v>
      </c>
      <c r="I104" s="20">
        <v>0</v>
      </c>
      <c r="J104" s="22">
        <v>710000000</v>
      </c>
      <c r="K104" s="20" t="s">
        <v>41</v>
      </c>
      <c r="L104" s="20" t="s">
        <v>736</v>
      </c>
      <c r="M104" s="20" t="s">
        <v>42</v>
      </c>
      <c r="N104" s="20" t="s">
        <v>43</v>
      </c>
      <c r="O104" s="23" t="s">
        <v>443</v>
      </c>
      <c r="P104" s="20" t="s">
        <v>302</v>
      </c>
      <c r="Q104" s="20">
        <v>796</v>
      </c>
      <c r="R104" s="20" t="s">
        <v>54</v>
      </c>
      <c r="S104" s="93">
        <v>10</v>
      </c>
      <c r="T104" s="29">
        <f>5700-(5700*12/112)</f>
        <v>5089.2857142857147</v>
      </c>
      <c r="U104" s="24">
        <v>0</v>
      </c>
      <c r="V104" s="24">
        <f t="shared" si="70"/>
        <v>0</v>
      </c>
      <c r="W104" s="25"/>
      <c r="X104" s="25">
        <v>2018</v>
      </c>
      <c r="Y104" s="62" t="s">
        <v>723</v>
      </c>
    </row>
    <row r="105" spans="2:25" ht="52.8">
      <c r="B105" s="20" t="s">
        <v>737</v>
      </c>
      <c r="C105" s="20" t="s">
        <v>36</v>
      </c>
      <c r="D105" s="20" t="s">
        <v>279</v>
      </c>
      <c r="E105" s="20" t="s">
        <v>280</v>
      </c>
      <c r="F105" s="20" t="s">
        <v>281</v>
      </c>
      <c r="G105" s="20"/>
      <c r="H105" s="20" t="s">
        <v>40</v>
      </c>
      <c r="I105" s="20">
        <v>0</v>
      </c>
      <c r="J105" s="22">
        <v>710000000</v>
      </c>
      <c r="K105" s="20" t="s">
        <v>41</v>
      </c>
      <c r="L105" s="20" t="s">
        <v>736</v>
      </c>
      <c r="M105" s="20" t="s">
        <v>42</v>
      </c>
      <c r="N105" s="20" t="s">
        <v>43</v>
      </c>
      <c r="O105" s="23" t="s">
        <v>443</v>
      </c>
      <c r="P105" s="20" t="s">
        <v>302</v>
      </c>
      <c r="Q105" s="20">
        <v>796</v>
      </c>
      <c r="R105" s="20" t="s">
        <v>54</v>
      </c>
      <c r="S105" s="93">
        <v>4</v>
      </c>
      <c r="T105" s="29">
        <f>5700-(5700*12/112)</f>
        <v>5089.2857142857147</v>
      </c>
      <c r="U105" s="29">
        <f t="shared" ref="U105" si="72">S105*T105</f>
        <v>20357.142857142859</v>
      </c>
      <c r="V105" s="24">
        <f t="shared" ref="V105" si="73">U105+(U105*12%)</f>
        <v>22800</v>
      </c>
      <c r="W105" s="25"/>
      <c r="X105" s="25">
        <v>2018</v>
      </c>
      <c r="Y105" s="62"/>
    </row>
    <row r="106" spans="2:25" ht="52.8">
      <c r="B106" s="20" t="s">
        <v>286</v>
      </c>
      <c r="C106" s="20" t="s">
        <v>36</v>
      </c>
      <c r="D106" s="20" t="s">
        <v>283</v>
      </c>
      <c r="E106" s="20" t="s">
        <v>284</v>
      </c>
      <c r="F106" s="20" t="s">
        <v>285</v>
      </c>
      <c r="G106" s="20"/>
      <c r="H106" s="20" t="s">
        <v>40</v>
      </c>
      <c r="I106" s="20">
        <v>0</v>
      </c>
      <c r="J106" s="22">
        <v>710000000</v>
      </c>
      <c r="K106" s="20" t="s">
        <v>41</v>
      </c>
      <c r="L106" s="20" t="s">
        <v>736</v>
      </c>
      <c r="M106" s="20" t="s">
        <v>42</v>
      </c>
      <c r="N106" s="20" t="s">
        <v>43</v>
      </c>
      <c r="O106" s="23" t="s">
        <v>443</v>
      </c>
      <c r="P106" s="20" t="s">
        <v>302</v>
      </c>
      <c r="Q106" s="20">
        <v>796</v>
      </c>
      <c r="R106" s="20" t="s">
        <v>54</v>
      </c>
      <c r="S106" s="93">
        <v>40</v>
      </c>
      <c r="T106" s="29">
        <f>1700-(1700*12/112)</f>
        <v>1517.8571428571429</v>
      </c>
      <c r="U106" s="24">
        <v>0</v>
      </c>
      <c r="V106" s="24">
        <f t="shared" si="70"/>
        <v>0</v>
      </c>
      <c r="W106" s="25"/>
      <c r="X106" s="25">
        <v>2018</v>
      </c>
      <c r="Y106" s="62" t="s">
        <v>723</v>
      </c>
    </row>
    <row r="107" spans="2:25" ht="52.8">
      <c r="B107" s="20" t="s">
        <v>738</v>
      </c>
      <c r="C107" s="20" t="s">
        <v>36</v>
      </c>
      <c r="D107" s="20" t="s">
        <v>283</v>
      </c>
      <c r="E107" s="20" t="s">
        <v>284</v>
      </c>
      <c r="F107" s="20" t="s">
        <v>285</v>
      </c>
      <c r="G107" s="20"/>
      <c r="H107" s="20" t="s">
        <v>40</v>
      </c>
      <c r="I107" s="20">
        <v>0</v>
      </c>
      <c r="J107" s="22">
        <v>710000000</v>
      </c>
      <c r="K107" s="20" t="s">
        <v>41</v>
      </c>
      <c r="L107" s="20" t="s">
        <v>736</v>
      </c>
      <c r="M107" s="20" t="s">
        <v>42</v>
      </c>
      <c r="N107" s="20" t="s">
        <v>43</v>
      </c>
      <c r="O107" s="23" t="s">
        <v>443</v>
      </c>
      <c r="P107" s="20" t="s">
        <v>302</v>
      </c>
      <c r="Q107" s="20">
        <v>796</v>
      </c>
      <c r="R107" s="20" t="s">
        <v>54</v>
      </c>
      <c r="S107" s="93">
        <v>38</v>
      </c>
      <c r="T107" s="29">
        <f>1700-(1700*12/112)</f>
        <v>1517.8571428571429</v>
      </c>
      <c r="U107" s="29">
        <f t="shared" ref="U107" si="74">S107*T107</f>
        <v>57678.571428571428</v>
      </c>
      <c r="V107" s="24">
        <f t="shared" si="70"/>
        <v>64600</v>
      </c>
      <c r="W107" s="25"/>
      <c r="X107" s="25">
        <v>2018</v>
      </c>
      <c r="Y107" s="62"/>
    </row>
    <row r="108" spans="2:25" ht="52.8">
      <c r="B108" s="20" t="s">
        <v>290</v>
      </c>
      <c r="C108" s="20" t="s">
        <v>36</v>
      </c>
      <c r="D108" s="20" t="s">
        <v>287</v>
      </c>
      <c r="E108" s="20" t="s">
        <v>288</v>
      </c>
      <c r="F108" s="20" t="s">
        <v>289</v>
      </c>
      <c r="G108" s="20"/>
      <c r="H108" s="20" t="s">
        <v>40</v>
      </c>
      <c r="I108" s="20">
        <v>0</v>
      </c>
      <c r="J108" s="22">
        <v>710000000</v>
      </c>
      <c r="K108" s="20" t="s">
        <v>41</v>
      </c>
      <c r="L108" s="20" t="s">
        <v>736</v>
      </c>
      <c r="M108" s="20" t="s">
        <v>42</v>
      </c>
      <c r="N108" s="20" t="s">
        <v>43</v>
      </c>
      <c r="O108" s="23" t="s">
        <v>443</v>
      </c>
      <c r="P108" s="20" t="s">
        <v>302</v>
      </c>
      <c r="Q108" s="20">
        <v>796</v>
      </c>
      <c r="R108" s="20" t="s">
        <v>54</v>
      </c>
      <c r="S108" s="93">
        <v>10</v>
      </c>
      <c r="T108" s="29">
        <f>7900-(7900*12/112)</f>
        <v>7053.5714285714284</v>
      </c>
      <c r="U108" s="24">
        <v>0</v>
      </c>
      <c r="V108" s="24">
        <f t="shared" si="70"/>
        <v>0</v>
      </c>
      <c r="W108" s="25"/>
      <c r="X108" s="25">
        <v>2018</v>
      </c>
      <c r="Y108" s="62" t="s">
        <v>723</v>
      </c>
    </row>
    <row r="109" spans="2:25" ht="52.8">
      <c r="B109" s="20" t="s">
        <v>739</v>
      </c>
      <c r="C109" s="20" t="s">
        <v>36</v>
      </c>
      <c r="D109" s="20" t="s">
        <v>287</v>
      </c>
      <c r="E109" s="20" t="s">
        <v>288</v>
      </c>
      <c r="F109" s="20" t="s">
        <v>289</v>
      </c>
      <c r="G109" s="20"/>
      <c r="H109" s="20" t="s">
        <v>40</v>
      </c>
      <c r="I109" s="20">
        <v>0</v>
      </c>
      <c r="J109" s="22">
        <v>710000000</v>
      </c>
      <c r="K109" s="20" t="s">
        <v>41</v>
      </c>
      <c r="L109" s="20" t="s">
        <v>736</v>
      </c>
      <c r="M109" s="20" t="s">
        <v>42</v>
      </c>
      <c r="N109" s="20" t="s">
        <v>43</v>
      </c>
      <c r="O109" s="23" t="s">
        <v>443</v>
      </c>
      <c r="P109" s="20" t="s">
        <v>302</v>
      </c>
      <c r="Q109" s="20">
        <v>796</v>
      </c>
      <c r="R109" s="20" t="s">
        <v>54</v>
      </c>
      <c r="S109" s="93">
        <v>1</v>
      </c>
      <c r="T109" s="29">
        <f>7900-(7900*12/112)</f>
        <v>7053.5714285714284</v>
      </c>
      <c r="U109" s="29">
        <f t="shared" ref="U109" si="75">S109*T109</f>
        <v>7053.5714285714284</v>
      </c>
      <c r="V109" s="24">
        <f t="shared" ref="V109" si="76">U109+(U109*12%)</f>
        <v>7900</v>
      </c>
      <c r="W109" s="25"/>
      <c r="X109" s="25">
        <v>2018</v>
      </c>
      <c r="Y109" s="62"/>
    </row>
    <row r="110" spans="2:25" ht="52.8">
      <c r="B110" s="20" t="s">
        <v>294</v>
      </c>
      <c r="C110" s="20" t="s">
        <v>36</v>
      </c>
      <c r="D110" s="20" t="s">
        <v>291</v>
      </c>
      <c r="E110" s="20" t="s">
        <v>292</v>
      </c>
      <c r="F110" s="20" t="s">
        <v>293</v>
      </c>
      <c r="G110" s="20"/>
      <c r="H110" s="20" t="s">
        <v>40</v>
      </c>
      <c r="I110" s="20">
        <v>0</v>
      </c>
      <c r="J110" s="22">
        <v>710000000</v>
      </c>
      <c r="K110" s="20" t="s">
        <v>41</v>
      </c>
      <c r="L110" s="20" t="s">
        <v>736</v>
      </c>
      <c r="M110" s="20" t="s">
        <v>42</v>
      </c>
      <c r="N110" s="20" t="s">
        <v>43</v>
      </c>
      <c r="O110" s="23" t="s">
        <v>443</v>
      </c>
      <c r="P110" s="20" t="s">
        <v>302</v>
      </c>
      <c r="Q110" s="20">
        <v>796</v>
      </c>
      <c r="R110" s="20" t="s">
        <v>54</v>
      </c>
      <c r="S110" s="93">
        <v>10</v>
      </c>
      <c r="T110" s="29">
        <f>5200-(5200*12/112)</f>
        <v>4642.8571428571431</v>
      </c>
      <c r="U110" s="24">
        <v>0</v>
      </c>
      <c r="V110" s="24">
        <f t="shared" si="70"/>
        <v>0</v>
      </c>
      <c r="W110" s="25"/>
      <c r="X110" s="25">
        <v>2018</v>
      </c>
      <c r="Y110" s="62" t="s">
        <v>723</v>
      </c>
    </row>
    <row r="111" spans="2:25" ht="52.8">
      <c r="B111" s="20" t="s">
        <v>765</v>
      </c>
      <c r="C111" s="20" t="s">
        <v>36</v>
      </c>
      <c r="D111" s="20" t="s">
        <v>291</v>
      </c>
      <c r="E111" s="20" t="s">
        <v>292</v>
      </c>
      <c r="F111" s="20" t="s">
        <v>293</v>
      </c>
      <c r="G111" s="20"/>
      <c r="H111" s="20" t="s">
        <v>40</v>
      </c>
      <c r="I111" s="20">
        <v>0</v>
      </c>
      <c r="J111" s="22">
        <v>710000000</v>
      </c>
      <c r="K111" s="20" t="s">
        <v>41</v>
      </c>
      <c r="L111" s="20" t="s">
        <v>736</v>
      </c>
      <c r="M111" s="20" t="s">
        <v>42</v>
      </c>
      <c r="N111" s="20" t="s">
        <v>43</v>
      </c>
      <c r="O111" s="23" t="s">
        <v>443</v>
      </c>
      <c r="P111" s="20" t="s">
        <v>302</v>
      </c>
      <c r="Q111" s="20">
        <v>796</v>
      </c>
      <c r="R111" s="20" t="s">
        <v>54</v>
      </c>
      <c r="S111" s="93">
        <v>1</v>
      </c>
      <c r="T111" s="29">
        <f>5200-(5200*12/112)</f>
        <v>4642.8571428571431</v>
      </c>
      <c r="U111" s="29">
        <f t="shared" ref="U111" si="77">S111*T111</f>
        <v>4642.8571428571431</v>
      </c>
      <c r="V111" s="24">
        <f t="shared" si="70"/>
        <v>5200</v>
      </c>
      <c r="W111" s="25"/>
      <c r="X111" s="25">
        <v>2018</v>
      </c>
      <c r="Y111" s="62"/>
    </row>
    <row r="112" spans="2:25" ht="52.8">
      <c r="B112" s="20" t="s">
        <v>324</v>
      </c>
      <c r="C112" s="31" t="s">
        <v>36</v>
      </c>
      <c r="D112" s="20" t="s">
        <v>295</v>
      </c>
      <c r="E112" s="20" t="s">
        <v>296</v>
      </c>
      <c r="F112" s="20" t="s">
        <v>297</v>
      </c>
      <c r="G112" s="20"/>
      <c r="H112" s="20" t="s">
        <v>40</v>
      </c>
      <c r="I112" s="20">
        <v>0</v>
      </c>
      <c r="J112" s="22">
        <v>710000000</v>
      </c>
      <c r="K112" s="20" t="s">
        <v>41</v>
      </c>
      <c r="L112" s="20" t="s">
        <v>736</v>
      </c>
      <c r="M112" s="20" t="s">
        <v>42</v>
      </c>
      <c r="N112" s="20" t="s">
        <v>43</v>
      </c>
      <c r="O112" s="23" t="s">
        <v>443</v>
      </c>
      <c r="P112" s="20" t="s">
        <v>302</v>
      </c>
      <c r="Q112" s="20">
        <v>796</v>
      </c>
      <c r="R112" s="20" t="s">
        <v>54</v>
      </c>
      <c r="S112" s="93">
        <v>2</v>
      </c>
      <c r="T112" s="29">
        <f>397000-(397000*12/112)</f>
        <v>354464.28571428574</v>
      </c>
      <c r="U112" s="29">
        <f t="shared" ref="U112" si="78">S112*T112</f>
        <v>708928.57142857148</v>
      </c>
      <c r="V112" s="29">
        <f t="shared" ref="V112:V117" si="79">U112+(U112*12%)</f>
        <v>794000</v>
      </c>
      <c r="W112" s="25"/>
      <c r="X112" s="25">
        <v>2018</v>
      </c>
      <c r="Y112" s="62"/>
    </row>
    <row r="113" spans="1:39" ht="52.8">
      <c r="A113" s="3"/>
      <c r="B113" s="20" t="s">
        <v>325</v>
      </c>
      <c r="C113" s="20" t="s">
        <v>36</v>
      </c>
      <c r="D113" s="26" t="s">
        <v>595</v>
      </c>
      <c r="E113" s="20" t="s">
        <v>596</v>
      </c>
      <c r="F113" s="20" t="s">
        <v>630</v>
      </c>
      <c r="G113" s="61"/>
      <c r="H113" s="20" t="s">
        <v>40</v>
      </c>
      <c r="I113" s="60">
        <v>100</v>
      </c>
      <c r="J113" s="22">
        <v>710000000</v>
      </c>
      <c r="K113" s="20" t="s">
        <v>41</v>
      </c>
      <c r="L113" s="20" t="s">
        <v>736</v>
      </c>
      <c r="M113" s="20" t="s">
        <v>42</v>
      </c>
      <c r="N113" s="22" t="s">
        <v>43</v>
      </c>
      <c r="O113" s="23" t="s">
        <v>443</v>
      </c>
      <c r="P113" s="20" t="s">
        <v>302</v>
      </c>
      <c r="Q113" s="20">
        <v>796</v>
      </c>
      <c r="R113" s="20" t="s">
        <v>54</v>
      </c>
      <c r="S113" s="93">
        <v>7</v>
      </c>
      <c r="T113" s="29">
        <f>25000-(25000*12/112)</f>
        <v>22321.428571428572</v>
      </c>
      <c r="U113" s="29">
        <f t="shared" ref="U113" si="80">S113*T113</f>
        <v>156250</v>
      </c>
      <c r="V113" s="29">
        <f t="shared" si="79"/>
        <v>175000</v>
      </c>
      <c r="W113" s="61"/>
      <c r="X113" s="59">
        <v>2018</v>
      </c>
      <c r="Y113" s="62"/>
      <c r="Z113" s="102"/>
      <c r="AA113" s="102"/>
      <c r="AB113" s="10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70.5" customHeight="1">
      <c r="A114" s="3"/>
      <c r="B114" s="20" t="s">
        <v>328</v>
      </c>
      <c r="C114" s="20" t="s">
        <v>36</v>
      </c>
      <c r="D114" s="26" t="s">
        <v>595</v>
      </c>
      <c r="E114" s="20" t="s">
        <v>596</v>
      </c>
      <c r="F114" s="20" t="s">
        <v>631</v>
      </c>
      <c r="G114" s="20" t="s">
        <v>632</v>
      </c>
      <c r="H114" s="20" t="s">
        <v>40</v>
      </c>
      <c r="I114" s="60">
        <v>100</v>
      </c>
      <c r="J114" s="22">
        <v>710000000</v>
      </c>
      <c r="K114" s="20" t="s">
        <v>41</v>
      </c>
      <c r="L114" s="20" t="s">
        <v>736</v>
      </c>
      <c r="M114" s="20" t="s">
        <v>42</v>
      </c>
      <c r="N114" s="22" t="s">
        <v>43</v>
      </c>
      <c r="O114" s="23" t="s">
        <v>443</v>
      </c>
      <c r="P114" s="20" t="s">
        <v>302</v>
      </c>
      <c r="Q114" s="20">
        <v>796</v>
      </c>
      <c r="R114" s="20" t="s">
        <v>54</v>
      </c>
      <c r="S114" s="93">
        <v>2</v>
      </c>
      <c r="T114" s="29">
        <f>80000-(80000*12/112)</f>
        <v>71428.571428571435</v>
      </c>
      <c r="U114" s="29">
        <f t="shared" ref="U114" si="81">S114*T114</f>
        <v>142857.14285714287</v>
      </c>
      <c r="V114" s="29">
        <f t="shared" si="79"/>
        <v>160000</v>
      </c>
      <c r="W114" s="61"/>
      <c r="X114" s="59">
        <v>2018</v>
      </c>
      <c r="Y114" s="62"/>
      <c r="Z114" s="102"/>
      <c r="AA114" s="102"/>
      <c r="AB114" s="10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66">
      <c r="A115" s="3"/>
      <c r="B115" s="20" t="s">
        <v>331</v>
      </c>
      <c r="C115" s="20" t="s">
        <v>36</v>
      </c>
      <c r="D115" s="26" t="s">
        <v>595</v>
      </c>
      <c r="E115" s="20" t="s">
        <v>596</v>
      </c>
      <c r="F115" s="20" t="s">
        <v>633</v>
      </c>
      <c r="G115" s="20" t="s">
        <v>634</v>
      </c>
      <c r="H115" s="20" t="s">
        <v>40</v>
      </c>
      <c r="I115" s="60">
        <v>100</v>
      </c>
      <c r="J115" s="22">
        <v>710000000</v>
      </c>
      <c r="K115" s="20" t="s">
        <v>41</v>
      </c>
      <c r="L115" s="20" t="s">
        <v>736</v>
      </c>
      <c r="M115" s="20" t="s">
        <v>42</v>
      </c>
      <c r="N115" s="22" t="s">
        <v>43</v>
      </c>
      <c r="O115" s="23" t="s">
        <v>443</v>
      </c>
      <c r="P115" s="20" t="s">
        <v>302</v>
      </c>
      <c r="Q115" s="20">
        <v>796</v>
      </c>
      <c r="R115" s="20" t="s">
        <v>54</v>
      </c>
      <c r="S115" s="93">
        <v>1</v>
      </c>
      <c r="T115" s="29">
        <f>516000-(516000*12/112)</f>
        <v>460714.28571428574</v>
      </c>
      <c r="U115" s="29">
        <v>0</v>
      </c>
      <c r="V115" s="29">
        <f t="shared" si="79"/>
        <v>0</v>
      </c>
      <c r="W115" s="61"/>
      <c r="X115" s="59">
        <v>2018</v>
      </c>
      <c r="Y115" s="62" t="s">
        <v>724</v>
      </c>
      <c r="Z115" s="102"/>
      <c r="AA115" s="102"/>
      <c r="AB115" s="10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s="73" customFormat="1" ht="52.8">
      <c r="B116" s="20" t="s">
        <v>334</v>
      </c>
      <c r="C116" s="75" t="s">
        <v>36</v>
      </c>
      <c r="D116" s="74" t="s">
        <v>595</v>
      </c>
      <c r="E116" s="75" t="s">
        <v>596</v>
      </c>
      <c r="F116" s="75" t="s">
        <v>599</v>
      </c>
      <c r="G116" s="75" t="s">
        <v>635</v>
      </c>
      <c r="H116" s="75" t="s">
        <v>40</v>
      </c>
      <c r="I116" s="69">
        <v>100</v>
      </c>
      <c r="J116" s="68">
        <v>710000000</v>
      </c>
      <c r="K116" s="75" t="s">
        <v>41</v>
      </c>
      <c r="L116" s="68" t="s">
        <v>736</v>
      </c>
      <c r="M116" s="75" t="s">
        <v>42</v>
      </c>
      <c r="N116" s="68" t="s">
        <v>43</v>
      </c>
      <c r="O116" s="76" t="s">
        <v>443</v>
      </c>
      <c r="P116" s="20" t="s">
        <v>302</v>
      </c>
      <c r="Q116" s="75">
        <v>796</v>
      </c>
      <c r="R116" s="75" t="s">
        <v>54</v>
      </c>
      <c r="S116" s="95">
        <v>1</v>
      </c>
      <c r="T116" s="63">
        <f>300000-(300000*12/112)</f>
        <v>267857.14285714284</v>
      </c>
      <c r="U116" s="63">
        <f t="shared" ref="U116" si="82">S116*T116</f>
        <v>267857.14285714284</v>
      </c>
      <c r="V116" s="64">
        <f t="shared" si="79"/>
        <v>300000</v>
      </c>
      <c r="W116" s="77"/>
      <c r="X116" s="71">
        <v>2018</v>
      </c>
      <c r="Y116" s="72"/>
      <c r="Z116" s="103"/>
      <c r="AA116" s="103"/>
      <c r="AB116" s="103"/>
    </row>
    <row r="117" spans="1:39" ht="52.8">
      <c r="A117" s="3"/>
      <c r="B117" s="20" t="s">
        <v>336</v>
      </c>
      <c r="C117" s="20" t="s">
        <v>36</v>
      </c>
      <c r="D117" s="39" t="s">
        <v>37</v>
      </c>
      <c r="E117" s="20" t="s">
        <v>298</v>
      </c>
      <c r="F117" s="20" t="s">
        <v>299</v>
      </c>
      <c r="G117" s="20"/>
      <c r="H117" s="20" t="s">
        <v>40</v>
      </c>
      <c r="I117" s="20">
        <v>0</v>
      </c>
      <c r="J117" s="22">
        <v>710000000</v>
      </c>
      <c r="K117" s="20" t="s">
        <v>41</v>
      </c>
      <c r="L117" s="20" t="s">
        <v>670</v>
      </c>
      <c r="M117" s="20" t="s">
        <v>42</v>
      </c>
      <c r="N117" s="20" t="s">
        <v>43</v>
      </c>
      <c r="O117" s="23" t="s">
        <v>301</v>
      </c>
      <c r="P117" s="20" t="s">
        <v>302</v>
      </c>
      <c r="Q117" s="20">
        <v>5111</v>
      </c>
      <c r="R117" s="20" t="s">
        <v>44</v>
      </c>
      <c r="S117" s="93">
        <v>930</v>
      </c>
      <c r="T117" s="29">
        <f>1100-(1100*12/112)</f>
        <v>982.14285714285711</v>
      </c>
      <c r="U117" s="29">
        <f t="shared" ref="U117:U173" si="83">S117*T117</f>
        <v>913392.85714285716</v>
      </c>
      <c r="V117" s="29">
        <f t="shared" si="79"/>
        <v>1023000</v>
      </c>
      <c r="W117" s="25"/>
      <c r="X117" s="25">
        <v>2018</v>
      </c>
      <c r="Y117" s="62"/>
      <c r="Z117" s="102"/>
      <c r="AA117" s="102"/>
      <c r="AB117" s="10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52.8">
      <c r="A118" s="3"/>
      <c r="B118" s="20" t="s">
        <v>338</v>
      </c>
      <c r="C118" s="20" t="s">
        <v>36</v>
      </c>
      <c r="D118" s="39" t="s">
        <v>45</v>
      </c>
      <c r="E118" s="20" t="s">
        <v>298</v>
      </c>
      <c r="F118" s="20" t="s">
        <v>303</v>
      </c>
      <c r="G118" s="20"/>
      <c r="H118" s="20" t="s">
        <v>40</v>
      </c>
      <c r="I118" s="20">
        <v>0</v>
      </c>
      <c r="J118" s="22">
        <v>710000000</v>
      </c>
      <c r="K118" s="20" t="s">
        <v>41</v>
      </c>
      <c r="L118" s="20" t="s">
        <v>386</v>
      </c>
      <c r="M118" s="20" t="s">
        <v>42</v>
      </c>
      <c r="N118" s="20" t="s">
        <v>43</v>
      </c>
      <c r="O118" s="23" t="s">
        <v>301</v>
      </c>
      <c r="P118" s="20" t="s">
        <v>302</v>
      </c>
      <c r="Q118" s="20">
        <v>5111</v>
      </c>
      <c r="R118" s="20" t="s">
        <v>44</v>
      </c>
      <c r="S118" s="93">
        <v>310</v>
      </c>
      <c r="T118" s="29">
        <f>2160-(2160*12/112)</f>
        <v>1928.5714285714287</v>
      </c>
      <c r="U118" s="29">
        <f t="shared" si="83"/>
        <v>597857.14285714284</v>
      </c>
      <c r="V118" s="29">
        <f t="shared" ref="V118:V181" si="84">U118+(U118*12%)</f>
        <v>669600</v>
      </c>
      <c r="W118" s="25"/>
      <c r="X118" s="25">
        <v>2018</v>
      </c>
      <c r="Y118" s="62"/>
      <c r="Z118" s="102"/>
      <c r="AA118" s="102"/>
      <c r="AB118" s="10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52.8">
      <c r="A119" s="3"/>
      <c r="B119" s="20" t="s">
        <v>340</v>
      </c>
      <c r="C119" s="20" t="s">
        <v>36</v>
      </c>
      <c r="D119" s="28" t="s">
        <v>47</v>
      </c>
      <c r="E119" s="20" t="s">
        <v>304</v>
      </c>
      <c r="F119" s="20" t="s">
        <v>305</v>
      </c>
      <c r="G119" s="20"/>
      <c r="H119" s="20" t="s">
        <v>40</v>
      </c>
      <c r="I119" s="20">
        <v>0</v>
      </c>
      <c r="J119" s="22">
        <v>710000000</v>
      </c>
      <c r="K119" s="20" t="s">
        <v>41</v>
      </c>
      <c r="L119" s="20" t="s">
        <v>386</v>
      </c>
      <c r="M119" s="20" t="s">
        <v>42</v>
      </c>
      <c r="N119" s="20" t="s">
        <v>43</v>
      </c>
      <c r="O119" s="23" t="s">
        <v>301</v>
      </c>
      <c r="P119" s="20" t="s">
        <v>302</v>
      </c>
      <c r="Q119" s="20">
        <v>5111</v>
      </c>
      <c r="R119" s="20" t="s">
        <v>44</v>
      </c>
      <c r="S119" s="93">
        <v>620</v>
      </c>
      <c r="T119" s="29">
        <f>815-(815*12/112)</f>
        <v>727.67857142857144</v>
      </c>
      <c r="U119" s="29">
        <f t="shared" si="83"/>
        <v>451160.71428571432</v>
      </c>
      <c r="V119" s="29">
        <f t="shared" si="84"/>
        <v>505300.00000000006</v>
      </c>
      <c r="W119" s="25"/>
      <c r="X119" s="25">
        <v>2018</v>
      </c>
      <c r="Y119" s="62"/>
      <c r="Z119" s="102"/>
      <c r="AA119" s="102"/>
      <c r="AB119" s="10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52.8">
      <c r="A120" s="3"/>
      <c r="B120" s="20" t="s">
        <v>342</v>
      </c>
      <c r="C120" s="20" t="s">
        <v>36</v>
      </c>
      <c r="D120" s="28" t="s">
        <v>51</v>
      </c>
      <c r="E120" s="20" t="s">
        <v>52</v>
      </c>
      <c r="F120" s="20" t="s">
        <v>53</v>
      </c>
      <c r="G120" s="20"/>
      <c r="H120" s="20" t="s">
        <v>40</v>
      </c>
      <c r="I120" s="20">
        <v>0</v>
      </c>
      <c r="J120" s="22">
        <v>710000000</v>
      </c>
      <c r="K120" s="20" t="s">
        <v>41</v>
      </c>
      <c r="L120" s="20" t="s">
        <v>386</v>
      </c>
      <c r="M120" s="20" t="s">
        <v>42</v>
      </c>
      <c r="N120" s="20" t="s">
        <v>43</v>
      </c>
      <c r="O120" s="23" t="s">
        <v>301</v>
      </c>
      <c r="P120" s="20" t="s">
        <v>302</v>
      </c>
      <c r="Q120" s="20">
        <v>796</v>
      </c>
      <c r="R120" s="20" t="s">
        <v>54</v>
      </c>
      <c r="S120" s="93">
        <v>31</v>
      </c>
      <c r="T120" s="29">
        <f>5000-(5000*12/112)</f>
        <v>4464.2857142857147</v>
      </c>
      <c r="U120" s="29">
        <f t="shared" si="83"/>
        <v>138392.85714285716</v>
      </c>
      <c r="V120" s="29">
        <f t="shared" si="84"/>
        <v>155000.00000000003</v>
      </c>
      <c r="W120" s="25"/>
      <c r="X120" s="25">
        <v>2018</v>
      </c>
      <c r="Y120" s="62"/>
      <c r="Z120" s="102"/>
      <c r="AA120" s="102"/>
      <c r="AB120" s="10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52.8">
      <c r="A121" s="3"/>
      <c r="B121" s="20" t="s">
        <v>344</v>
      </c>
      <c r="C121" s="20" t="s">
        <v>36</v>
      </c>
      <c r="D121" s="28" t="s">
        <v>56</v>
      </c>
      <c r="E121" s="20" t="s">
        <v>57</v>
      </c>
      <c r="F121" s="20" t="s">
        <v>58</v>
      </c>
      <c r="G121" s="20"/>
      <c r="H121" s="20" t="s">
        <v>40</v>
      </c>
      <c r="I121" s="20">
        <v>0</v>
      </c>
      <c r="J121" s="22">
        <v>710000000</v>
      </c>
      <c r="K121" s="20" t="s">
        <v>41</v>
      </c>
      <c r="L121" s="20" t="s">
        <v>386</v>
      </c>
      <c r="M121" s="20" t="s">
        <v>42</v>
      </c>
      <c r="N121" s="20" t="s">
        <v>43</v>
      </c>
      <c r="O121" s="23" t="s">
        <v>301</v>
      </c>
      <c r="P121" s="20" t="s">
        <v>302</v>
      </c>
      <c r="Q121" s="20">
        <v>796</v>
      </c>
      <c r="R121" s="20" t="s">
        <v>54</v>
      </c>
      <c r="S121" s="93">
        <v>1</v>
      </c>
      <c r="T121" s="29">
        <f t="shared" ref="T121:T127" si="85">330-(330*12/112)</f>
        <v>294.64285714285717</v>
      </c>
      <c r="U121" s="29">
        <f t="shared" si="83"/>
        <v>294.64285714285717</v>
      </c>
      <c r="V121" s="29">
        <f t="shared" si="84"/>
        <v>330</v>
      </c>
      <c r="W121" s="25"/>
      <c r="X121" s="25">
        <v>2018</v>
      </c>
      <c r="Y121" s="62"/>
      <c r="Z121" s="102"/>
      <c r="AA121" s="102"/>
      <c r="AB121" s="10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52.8">
      <c r="A122" s="3"/>
      <c r="B122" s="20" t="s">
        <v>346</v>
      </c>
      <c r="C122" s="20" t="s">
        <v>36</v>
      </c>
      <c r="D122" s="28" t="s">
        <v>56</v>
      </c>
      <c r="E122" s="20" t="s">
        <v>57</v>
      </c>
      <c r="F122" s="20" t="s">
        <v>60</v>
      </c>
      <c r="G122" s="20"/>
      <c r="H122" s="20" t="s">
        <v>40</v>
      </c>
      <c r="I122" s="20">
        <v>0</v>
      </c>
      <c r="J122" s="22">
        <v>710000000</v>
      </c>
      <c r="K122" s="20" t="s">
        <v>41</v>
      </c>
      <c r="L122" s="20" t="s">
        <v>386</v>
      </c>
      <c r="M122" s="20" t="s">
        <v>42</v>
      </c>
      <c r="N122" s="20" t="s">
        <v>43</v>
      </c>
      <c r="O122" s="23" t="s">
        <v>301</v>
      </c>
      <c r="P122" s="20" t="s">
        <v>302</v>
      </c>
      <c r="Q122" s="20">
        <v>796</v>
      </c>
      <c r="R122" s="20" t="s">
        <v>54</v>
      </c>
      <c r="S122" s="93">
        <v>1</v>
      </c>
      <c r="T122" s="29">
        <f t="shared" si="85"/>
        <v>294.64285714285717</v>
      </c>
      <c r="U122" s="29">
        <f t="shared" si="83"/>
        <v>294.64285714285717</v>
      </c>
      <c r="V122" s="29">
        <f t="shared" si="84"/>
        <v>330</v>
      </c>
      <c r="W122" s="25"/>
      <c r="X122" s="25">
        <v>2018</v>
      </c>
      <c r="Y122" s="62"/>
      <c r="Z122" s="102"/>
      <c r="AA122" s="102"/>
      <c r="AB122" s="10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52.8">
      <c r="A123" s="3"/>
      <c r="B123" s="20" t="s">
        <v>348</v>
      </c>
      <c r="C123" s="20" t="s">
        <v>36</v>
      </c>
      <c r="D123" s="28" t="s">
        <v>56</v>
      </c>
      <c r="E123" s="20" t="s">
        <v>57</v>
      </c>
      <c r="F123" s="20" t="s">
        <v>62</v>
      </c>
      <c r="G123" s="20"/>
      <c r="H123" s="20" t="s">
        <v>40</v>
      </c>
      <c r="I123" s="20">
        <v>0</v>
      </c>
      <c r="J123" s="22">
        <v>710000000</v>
      </c>
      <c r="K123" s="20" t="s">
        <v>41</v>
      </c>
      <c r="L123" s="20" t="s">
        <v>386</v>
      </c>
      <c r="M123" s="20" t="s">
        <v>42</v>
      </c>
      <c r="N123" s="20" t="s">
        <v>43</v>
      </c>
      <c r="O123" s="23" t="s">
        <v>301</v>
      </c>
      <c r="P123" s="20" t="s">
        <v>302</v>
      </c>
      <c r="Q123" s="20">
        <v>796</v>
      </c>
      <c r="R123" s="20" t="s">
        <v>54</v>
      </c>
      <c r="S123" s="93">
        <v>1</v>
      </c>
      <c r="T123" s="29">
        <f t="shared" si="85"/>
        <v>294.64285714285717</v>
      </c>
      <c r="U123" s="29">
        <f t="shared" si="83"/>
        <v>294.64285714285717</v>
      </c>
      <c r="V123" s="29">
        <f t="shared" si="84"/>
        <v>330</v>
      </c>
      <c r="W123" s="25"/>
      <c r="X123" s="25">
        <v>2018</v>
      </c>
      <c r="Y123" s="62"/>
      <c r="Z123" s="102"/>
      <c r="AA123" s="102"/>
      <c r="AB123" s="10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52.8">
      <c r="A124" s="3"/>
      <c r="B124" s="20" t="s">
        <v>350</v>
      </c>
      <c r="C124" s="20" t="s">
        <v>36</v>
      </c>
      <c r="D124" s="28" t="s">
        <v>56</v>
      </c>
      <c r="E124" s="20" t="s">
        <v>57</v>
      </c>
      <c r="F124" s="20" t="s">
        <v>64</v>
      </c>
      <c r="G124" s="20"/>
      <c r="H124" s="20" t="s">
        <v>40</v>
      </c>
      <c r="I124" s="20">
        <v>0</v>
      </c>
      <c r="J124" s="22">
        <v>710000000</v>
      </c>
      <c r="K124" s="20" t="s">
        <v>41</v>
      </c>
      <c r="L124" s="20" t="s">
        <v>386</v>
      </c>
      <c r="M124" s="20" t="s">
        <v>42</v>
      </c>
      <c r="N124" s="20" t="s">
        <v>43</v>
      </c>
      <c r="O124" s="23" t="s">
        <v>301</v>
      </c>
      <c r="P124" s="20" t="s">
        <v>302</v>
      </c>
      <c r="Q124" s="20">
        <v>796</v>
      </c>
      <c r="R124" s="20" t="s">
        <v>54</v>
      </c>
      <c r="S124" s="93">
        <v>5</v>
      </c>
      <c r="T124" s="29">
        <f t="shared" si="85"/>
        <v>294.64285714285717</v>
      </c>
      <c r="U124" s="29">
        <f t="shared" si="83"/>
        <v>1473.2142857142858</v>
      </c>
      <c r="V124" s="29">
        <f t="shared" si="84"/>
        <v>1650</v>
      </c>
      <c r="W124" s="25"/>
      <c r="X124" s="25">
        <v>2018</v>
      </c>
      <c r="Y124" s="62"/>
      <c r="Z124" s="102"/>
      <c r="AA124" s="102"/>
      <c r="AB124" s="10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52.8">
      <c r="A125" s="3"/>
      <c r="B125" s="20" t="s">
        <v>353</v>
      </c>
      <c r="C125" s="20" t="s">
        <v>36</v>
      </c>
      <c r="D125" s="28" t="s">
        <v>70</v>
      </c>
      <c r="E125" s="20" t="s">
        <v>71</v>
      </c>
      <c r="F125" s="20" t="s">
        <v>306</v>
      </c>
      <c r="G125" s="20"/>
      <c r="H125" s="20" t="s">
        <v>40</v>
      </c>
      <c r="I125" s="20">
        <v>0</v>
      </c>
      <c r="J125" s="22">
        <v>710000000</v>
      </c>
      <c r="K125" s="20" t="s">
        <v>41</v>
      </c>
      <c r="L125" s="20" t="s">
        <v>386</v>
      </c>
      <c r="M125" s="20" t="s">
        <v>42</v>
      </c>
      <c r="N125" s="20" t="s">
        <v>43</v>
      </c>
      <c r="O125" s="23" t="s">
        <v>301</v>
      </c>
      <c r="P125" s="20" t="s">
        <v>302</v>
      </c>
      <c r="Q125" s="20">
        <v>796</v>
      </c>
      <c r="R125" s="20" t="s">
        <v>54</v>
      </c>
      <c r="S125" s="93">
        <v>1</v>
      </c>
      <c r="T125" s="29">
        <f t="shared" si="85"/>
        <v>294.64285714285717</v>
      </c>
      <c r="U125" s="29">
        <f t="shared" si="83"/>
        <v>294.64285714285717</v>
      </c>
      <c r="V125" s="29">
        <f t="shared" si="84"/>
        <v>330</v>
      </c>
      <c r="W125" s="25"/>
      <c r="X125" s="25">
        <v>2018</v>
      </c>
      <c r="Y125" s="62"/>
      <c r="Z125" s="102"/>
      <c r="AA125" s="102"/>
      <c r="AB125" s="10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52.8">
      <c r="A126" s="3"/>
      <c r="B126" s="20" t="s">
        <v>355</v>
      </c>
      <c r="C126" s="20" t="s">
        <v>36</v>
      </c>
      <c r="D126" s="28" t="s">
        <v>56</v>
      </c>
      <c r="E126" s="20" t="s">
        <v>57</v>
      </c>
      <c r="F126" s="20" t="s">
        <v>66</v>
      </c>
      <c r="G126" s="20"/>
      <c r="H126" s="20" t="s">
        <v>40</v>
      </c>
      <c r="I126" s="20">
        <v>0</v>
      </c>
      <c r="J126" s="22">
        <v>710000000</v>
      </c>
      <c r="K126" s="20" t="s">
        <v>41</v>
      </c>
      <c r="L126" s="20" t="s">
        <v>386</v>
      </c>
      <c r="M126" s="20" t="s">
        <v>42</v>
      </c>
      <c r="N126" s="20" t="s">
        <v>43</v>
      </c>
      <c r="O126" s="23" t="s">
        <v>301</v>
      </c>
      <c r="P126" s="20" t="s">
        <v>302</v>
      </c>
      <c r="Q126" s="20">
        <v>796</v>
      </c>
      <c r="R126" s="20" t="s">
        <v>54</v>
      </c>
      <c r="S126" s="93">
        <v>3</v>
      </c>
      <c r="T126" s="29">
        <f t="shared" si="85"/>
        <v>294.64285714285717</v>
      </c>
      <c r="U126" s="29">
        <f t="shared" si="83"/>
        <v>883.92857142857156</v>
      </c>
      <c r="V126" s="29">
        <f t="shared" si="84"/>
        <v>990.00000000000011</v>
      </c>
      <c r="W126" s="25"/>
      <c r="X126" s="25">
        <v>2018</v>
      </c>
      <c r="Y126" s="62"/>
      <c r="Z126" s="102"/>
      <c r="AA126" s="102"/>
      <c r="AB126" s="10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52.8">
      <c r="A127" s="3"/>
      <c r="B127" s="20" t="s">
        <v>357</v>
      </c>
      <c r="C127" s="20" t="s">
        <v>36</v>
      </c>
      <c r="D127" s="28" t="s">
        <v>56</v>
      </c>
      <c r="E127" s="20" t="s">
        <v>57</v>
      </c>
      <c r="F127" s="20" t="s">
        <v>68</v>
      </c>
      <c r="G127" s="20"/>
      <c r="H127" s="20" t="s">
        <v>40</v>
      </c>
      <c r="I127" s="20">
        <v>0</v>
      </c>
      <c r="J127" s="22">
        <v>710000000</v>
      </c>
      <c r="K127" s="20" t="s">
        <v>41</v>
      </c>
      <c r="L127" s="20" t="s">
        <v>386</v>
      </c>
      <c r="M127" s="20" t="s">
        <v>42</v>
      </c>
      <c r="N127" s="20" t="s">
        <v>43</v>
      </c>
      <c r="O127" s="23" t="s">
        <v>301</v>
      </c>
      <c r="P127" s="20" t="s">
        <v>302</v>
      </c>
      <c r="Q127" s="20">
        <v>796</v>
      </c>
      <c r="R127" s="20" t="s">
        <v>54</v>
      </c>
      <c r="S127" s="93">
        <v>1</v>
      </c>
      <c r="T127" s="29">
        <f t="shared" si="85"/>
        <v>294.64285714285717</v>
      </c>
      <c r="U127" s="29">
        <f t="shared" si="83"/>
        <v>294.64285714285717</v>
      </c>
      <c r="V127" s="29">
        <f t="shared" si="84"/>
        <v>330</v>
      </c>
      <c r="W127" s="25"/>
      <c r="X127" s="25">
        <v>2018</v>
      </c>
      <c r="Y127" s="62"/>
      <c r="Z127" s="102"/>
      <c r="AA127" s="102"/>
      <c r="AB127" s="10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52.8">
      <c r="A128" s="3"/>
      <c r="B128" s="20" t="s">
        <v>359</v>
      </c>
      <c r="C128" s="20" t="s">
        <v>36</v>
      </c>
      <c r="D128" s="28" t="s">
        <v>74</v>
      </c>
      <c r="E128" s="20" t="s">
        <v>75</v>
      </c>
      <c r="F128" s="20" t="s">
        <v>307</v>
      </c>
      <c r="G128" s="20"/>
      <c r="H128" s="20" t="s">
        <v>40</v>
      </c>
      <c r="I128" s="20">
        <v>0</v>
      </c>
      <c r="J128" s="22">
        <v>710000000</v>
      </c>
      <c r="K128" s="20" t="s">
        <v>41</v>
      </c>
      <c r="L128" s="20" t="s">
        <v>386</v>
      </c>
      <c r="M128" s="20" t="s">
        <v>42</v>
      </c>
      <c r="N128" s="20" t="s">
        <v>43</v>
      </c>
      <c r="O128" s="23" t="s">
        <v>301</v>
      </c>
      <c r="P128" s="20" t="s">
        <v>302</v>
      </c>
      <c r="Q128" s="20">
        <v>778</v>
      </c>
      <c r="R128" s="20" t="s">
        <v>77</v>
      </c>
      <c r="S128" s="93">
        <v>62</v>
      </c>
      <c r="T128" s="29">
        <f>145-(145*12/112)</f>
        <v>129.46428571428572</v>
      </c>
      <c r="U128" s="29">
        <f t="shared" si="83"/>
        <v>8026.7857142857147</v>
      </c>
      <c r="V128" s="29">
        <f t="shared" si="84"/>
        <v>8990</v>
      </c>
      <c r="W128" s="25"/>
      <c r="X128" s="25">
        <v>2018</v>
      </c>
      <c r="Y128" s="62"/>
      <c r="Z128" s="102"/>
      <c r="AA128" s="102"/>
      <c r="AB128" s="10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52.8">
      <c r="A129" s="3"/>
      <c r="B129" s="20" t="s">
        <v>361</v>
      </c>
      <c r="C129" s="28" t="s">
        <v>36</v>
      </c>
      <c r="D129" s="22" t="s">
        <v>74</v>
      </c>
      <c r="E129" s="28" t="s">
        <v>75</v>
      </c>
      <c r="F129" s="20" t="s">
        <v>308</v>
      </c>
      <c r="G129" s="28"/>
      <c r="H129" s="20" t="s">
        <v>40</v>
      </c>
      <c r="I129" s="28">
        <v>0</v>
      </c>
      <c r="J129" s="22">
        <v>710000000</v>
      </c>
      <c r="K129" s="28" t="s">
        <v>41</v>
      </c>
      <c r="L129" s="20" t="s">
        <v>386</v>
      </c>
      <c r="M129" s="28" t="s">
        <v>42</v>
      </c>
      <c r="N129" s="28" t="s">
        <v>43</v>
      </c>
      <c r="O129" s="23" t="s">
        <v>301</v>
      </c>
      <c r="P129" s="20" t="s">
        <v>302</v>
      </c>
      <c r="Q129" s="20">
        <v>778</v>
      </c>
      <c r="R129" s="28" t="s">
        <v>77</v>
      </c>
      <c r="S129" s="94">
        <v>62</v>
      </c>
      <c r="T129" s="29">
        <f>928-(928*12/112)</f>
        <v>828.57142857142856</v>
      </c>
      <c r="U129" s="29">
        <f t="shared" si="83"/>
        <v>51371.428571428572</v>
      </c>
      <c r="V129" s="29">
        <f t="shared" si="84"/>
        <v>57536</v>
      </c>
      <c r="W129" s="30"/>
      <c r="X129" s="30">
        <v>2018</v>
      </c>
      <c r="Y129" s="62"/>
      <c r="Z129" s="102"/>
      <c r="AA129" s="102"/>
      <c r="AB129" s="10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52.8">
      <c r="A130" s="3"/>
      <c r="B130" s="20" t="s">
        <v>365</v>
      </c>
      <c r="C130" s="20" t="s">
        <v>36</v>
      </c>
      <c r="D130" s="28" t="s">
        <v>81</v>
      </c>
      <c r="E130" s="20" t="s">
        <v>82</v>
      </c>
      <c r="F130" s="20" t="s">
        <v>309</v>
      </c>
      <c r="G130" s="28"/>
      <c r="H130" s="20" t="s">
        <v>40</v>
      </c>
      <c r="I130" s="20">
        <v>0</v>
      </c>
      <c r="J130" s="22">
        <v>710000000</v>
      </c>
      <c r="K130" s="20" t="s">
        <v>41</v>
      </c>
      <c r="L130" s="20" t="s">
        <v>386</v>
      </c>
      <c r="M130" s="20" t="s">
        <v>42</v>
      </c>
      <c r="N130" s="20" t="s">
        <v>43</v>
      </c>
      <c r="O130" s="23" t="s">
        <v>301</v>
      </c>
      <c r="P130" s="20" t="s">
        <v>302</v>
      </c>
      <c r="Q130" s="20">
        <v>796</v>
      </c>
      <c r="R130" s="20" t="s">
        <v>54</v>
      </c>
      <c r="S130" s="93">
        <v>31</v>
      </c>
      <c r="T130" s="29">
        <f>3900-(3900*12/112)</f>
        <v>3482.1428571428573</v>
      </c>
      <c r="U130" s="29">
        <f t="shared" si="83"/>
        <v>107946.42857142858</v>
      </c>
      <c r="V130" s="29">
        <f t="shared" si="84"/>
        <v>120900.00000000001</v>
      </c>
      <c r="W130" s="25"/>
      <c r="X130" s="25">
        <v>2018</v>
      </c>
      <c r="Y130" s="62"/>
      <c r="Z130" s="102"/>
      <c r="AA130" s="102"/>
      <c r="AB130" s="10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52.8">
      <c r="A131" s="3"/>
      <c r="B131" s="20" t="s">
        <v>368</v>
      </c>
      <c r="C131" s="20" t="s">
        <v>36</v>
      </c>
      <c r="D131" s="28" t="s">
        <v>86</v>
      </c>
      <c r="E131" s="20" t="s">
        <v>87</v>
      </c>
      <c r="F131" s="20" t="s">
        <v>310</v>
      </c>
      <c r="G131" s="20"/>
      <c r="H131" s="20" t="s">
        <v>40</v>
      </c>
      <c r="I131" s="20">
        <v>0</v>
      </c>
      <c r="J131" s="22">
        <v>710000000</v>
      </c>
      <c r="K131" s="20" t="s">
        <v>41</v>
      </c>
      <c r="L131" s="20" t="s">
        <v>386</v>
      </c>
      <c r="M131" s="20" t="s">
        <v>42</v>
      </c>
      <c r="N131" s="20" t="s">
        <v>43</v>
      </c>
      <c r="O131" s="23" t="s">
        <v>301</v>
      </c>
      <c r="P131" s="20" t="s">
        <v>302</v>
      </c>
      <c r="Q131" s="20">
        <v>796</v>
      </c>
      <c r="R131" s="20" t="s">
        <v>54</v>
      </c>
      <c r="S131" s="93">
        <v>310</v>
      </c>
      <c r="T131" s="29">
        <f>235-(235*12/112)</f>
        <v>209.82142857142858</v>
      </c>
      <c r="U131" s="29">
        <f t="shared" si="83"/>
        <v>65044.642857142862</v>
      </c>
      <c r="V131" s="29">
        <f t="shared" si="84"/>
        <v>72850</v>
      </c>
      <c r="W131" s="25"/>
      <c r="X131" s="25">
        <v>2018</v>
      </c>
      <c r="Y131" s="62"/>
      <c r="Z131" s="102"/>
      <c r="AA131" s="102"/>
      <c r="AB131" s="10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52.8">
      <c r="A132" s="3"/>
      <c r="B132" s="20" t="s">
        <v>371</v>
      </c>
      <c r="C132" s="20" t="s">
        <v>36</v>
      </c>
      <c r="D132" s="28" t="s">
        <v>90</v>
      </c>
      <c r="E132" s="20" t="s">
        <v>311</v>
      </c>
      <c r="F132" s="28" t="s">
        <v>312</v>
      </c>
      <c r="G132" s="20"/>
      <c r="H132" s="20" t="s">
        <v>40</v>
      </c>
      <c r="I132" s="20">
        <v>0</v>
      </c>
      <c r="J132" s="22">
        <v>710000000</v>
      </c>
      <c r="K132" s="20" t="s">
        <v>41</v>
      </c>
      <c r="L132" s="20" t="s">
        <v>386</v>
      </c>
      <c r="M132" s="20" t="s">
        <v>42</v>
      </c>
      <c r="N132" s="20" t="s">
        <v>43</v>
      </c>
      <c r="O132" s="23" t="s">
        <v>301</v>
      </c>
      <c r="P132" s="20" t="s">
        <v>302</v>
      </c>
      <c r="Q132" s="20">
        <v>796</v>
      </c>
      <c r="R132" s="20" t="s">
        <v>54</v>
      </c>
      <c r="S132" s="93">
        <v>620</v>
      </c>
      <c r="T132" s="29">
        <f>25-(25*12/112)</f>
        <v>22.321428571428573</v>
      </c>
      <c r="U132" s="29">
        <f t="shared" si="83"/>
        <v>13839.285714285716</v>
      </c>
      <c r="V132" s="29">
        <f t="shared" si="84"/>
        <v>15500.000000000002</v>
      </c>
      <c r="W132" s="25"/>
      <c r="X132" s="25">
        <v>2018</v>
      </c>
      <c r="Y132" s="62"/>
      <c r="Z132" s="102"/>
      <c r="AA132" s="102"/>
      <c r="AB132" s="10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52.8">
      <c r="A133" s="3"/>
      <c r="B133" s="20" t="s">
        <v>373</v>
      </c>
      <c r="C133" s="20" t="s">
        <v>36</v>
      </c>
      <c r="D133" s="28" t="s">
        <v>94</v>
      </c>
      <c r="E133" s="20" t="s">
        <v>95</v>
      </c>
      <c r="F133" s="20" t="s">
        <v>313</v>
      </c>
      <c r="G133" s="20"/>
      <c r="H133" s="20" t="s">
        <v>40</v>
      </c>
      <c r="I133" s="20">
        <v>0</v>
      </c>
      <c r="J133" s="22">
        <v>710000000</v>
      </c>
      <c r="K133" s="20" t="s">
        <v>41</v>
      </c>
      <c r="L133" s="20" t="s">
        <v>386</v>
      </c>
      <c r="M133" s="20" t="s">
        <v>42</v>
      </c>
      <c r="N133" s="20" t="s">
        <v>43</v>
      </c>
      <c r="O133" s="23" t="s">
        <v>301</v>
      </c>
      <c r="P133" s="20" t="s">
        <v>302</v>
      </c>
      <c r="Q133" s="20">
        <v>796</v>
      </c>
      <c r="R133" s="20" t="s">
        <v>54</v>
      </c>
      <c r="S133" s="93">
        <v>310</v>
      </c>
      <c r="T133" s="29">
        <f>155-(155*12/112)</f>
        <v>138.39285714285714</v>
      </c>
      <c r="U133" s="29">
        <f t="shared" si="83"/>
        <v>42901.78571428571</v>
      </c>
      <c r="V133" s="29">
        <f t="shared" si="84"/>
        <v>48049.999999999993</v>
      </c>
      <c r="W133" s="25"/>
      <c r="X133" s="25">
        <v>2018</v>
      </c>
      <c r="Y133" s="62"/>
      <c r="Z133" s="102"/>
      <c r="AA133" s="102"/>
      <c r="AB133" s="10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52.8">
      <c r="A134" s="3"/>
      <c r="B134" s="20" t="s">
        <v>377</v>
      </c>
      <c r="C134" s="20" t="s">
        <v>36</v>
      </c>
      <c r="D134" s="28" t="s">
        <v>98</v>
      </c>
      <c r="E134" s="20" t="s">
        <v>99</v>
      </c>
      <c r="F134" s="20" t="s">
        <v>822</v>
      </c>
      <c r="G134" s="20"/>
      <c r="H134" s="20" t="s">
        <v>40</v>
      </c>
      <c r="I134" s="20">
        <v>0</v>
      </c>
      <c r="J134" s="22">
        <v>710000000</v>
      </c>
      <c r="K134" s="20" t="s">
        <v>41</v>
      </c>
      <c r="L134" s="20" t="s">
        <v>670</v>
      </c>
      <c r="M134" s="20" t="s">
        <v>42</v>
      </c>
      <c r="N134" s="20" t="s">
        <v>43</v>
      </c>
      <c r="O134" s="23" t="s">
        <v>301</v>
      </c>
      <c r="P134" s="20" t="s">
        <v>302</v>
      </c>
      <c r="Q134" s="20">
        <v>796</v>
      </c>
      <c r="R134" s="20" t="s">
        <v>54</v>
      </c>
      <c r="S134" s="93">
        <v>310</v>
      </c>
      <c r="T134" s="29">
        <f>140-(140*12/112)</f>
        <v>125</v>
      </c>
      <c r="U134" s="29">
        <f t="shared" si="83"/>
        <v>38750</v>
      </c>
      <c r="V134" s="29">
        <f t="shared" si="84"/>
        <v>43400</v>
      </c>
      <c r="W134" s="25"/>
      <c r="X134" s="25">
        <v>2018</v>
      </c>
      <c r="Y134" s="62"/>
      <c r="Z134" s="102"/>
      <c r="AA134" s="102"/>
      <c r="AB134" s="10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52.8">
      <c r="A135" s="3"/>
      <c r="B135" s="20" t="s">
        <v>379</v>
      </c>
      <c r="C135" s="20" t="s">
        <v>36</v>
      </c>
      <c r="D135" s="28" t="s">
        <v>102</v>
      </c>
      <c r="E135" s="20" t="s">
        <v>103</v>
      </c>
      <c r="F135" s="20" t="s">
        <v>314</v>
      </c>
      <c r="G135" s="20"/>
      <c r="H135" s="20" t="s">
        <v>40</v>
      </c>
      <c r="I135" s="20">
        <v>0</v>
      </c>
      <c r="J135" s="22">
        <v>710000000</v>
      </c>
      <c r="K135" s="20" t="s">
        <v>41</v>
      </c>
      <c r="L135" s="20" t="s">
        <v>386</v>
      </c>
      <c r="M135" s="20" t="s">
        <v>42</v>
      </c>
      <c r="N135" s="20" t="s">
        <v>43</v>
      </c>
      <c r="O135" s="23" t="s">
        <v>301</v>
      </c>
      <c r="P135" s="20" t="s">
        <v>302</v>
      </c>
      <c r="Q135" s="20">
        <v>704</v>
      </c>
      <c r="R135" s="20" t="s">
        <v>315</v>
      </c>
      <c r="S135" s="93">
        <v>62</v>
      </c>
      <c r="T135" s="29">
        <f>460-(460*12/112)</f>
        <v>410.71428571428572</v>
      </c>
      <c r="U135" s="29">
        <f t="shared" si="83"/>
        <v>25464.285714285714</v>
      </c>
      <c r="V135" s="29">
        <f t="shared" si="84"/>
        <v>28520</v>
      </c>
      <c r="W135" s="25"/>
      <c r="X135" s="25">
        <v>2018</v>
      </c>
      <c r="Y135" s="62"/>
      <c r="Z135" s="102"/>
      <c r="AA135" s="102"/>
      <c r="AB135" s="10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52.8">
      <c r="A136" s="3"/>
      <c r="B136" s="20" t="s">
        <v>382</v>
      </c>
      <c r="C136" s="20" t="s">
        <v>36</v>
      </c>
      <c r="D136" s="28" t="s">
        <v>106</v>
      </c>
      <c r="E136" s="20" t="s">
        <v>316</v>
      </c>
      <c r="F136" s="20" t="s">
        <v>317</v>
      </c>
      <c r="G136" s="20"/>
      <c r="H136" s="20" t="s">
        <v>40</v>
      </c>
      <c r="I136" s="20">
        <v>0</v>
      </c>
      <c r="J136" s="22">
        <v>710000000</v>
      </c>
      <c r="K136" s="20" t="s">
        <v>41</v>
      </c>
      <c r="L136" s="20" t="s">
        <v>386</v>
      </c>
      <c r="M136" s="20" t="s">
        <v>42</v>
      </c>
      <c r="N136" s="20" t="s">
        <v>43</v>
      </c>
      <c r="O136" s="23" t="s">
        <v>301</v>
      </c>
      <c r="P136" s="20" t="s">
        <v>302</v>
      </c>
      <c r="Q136" s="20">
        <v>796</v>
      </c>
      <c r="R136" s="20" t="s">
        <v>54</v>
      </c>
      <c r="S136" s="93">
        <v>620</v>
      </c>
      <c r="T136" s="29">
        <f>120-(120*12/112)</f>
        <v>107.14285714285714</v>
      </c>
      <c r="U136" s="29">
        <f t="shared" si="83"/>
        <v>66428.57142857142</v>
      </c>
      <c r="V136" s="29">
        <f t="shared" si="84"/>
        <v>74399.999999999985</v>
      </c>
      <c r="W136" s="25"/>
      <c r="X136" s="25">
        <v>2018</v>
      </c>
      <c r="Y136" s="62"/>
      <c r="Z136" s="102"/>
      <c r="AA136" s="102"/>
      <c r="AB136" s="10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52.8">
      <c r="A137" s="3"/>
      <c r="B137" s="20" t="s">
        <v>387</v>
      </c>
      <c r="C137" s="20" t="s">
        <v>36</v>
      </c>
      <c r="D137" s="28" t="s">
        <v>106</v>
      </c>
      <c r="E137" s="20" t="s">
        <v>316</v>
      </c>
      <c r="F137" s="20" t="s">
        <v>318</v>
      </c>
      <c r="G137" s="20"/>
      <c r="H137" s="20" t="s">
        <v>40</v>
      </c>
      <c r="I137" s="20">
        <v>0</v>
      </c>
      <c r="J137" s="22">
        <v>710000000</v>
      </c>
      <c r="K137" s="20" t="s">
        <v>41</v>
      </c>
      <c r="L137" s="20" t="s">
        <v>386</v>
      </c>
      <c r="M137" s="20" t="s">
        <v>42</v>
      </c>
      <c r="N137" s="20" t="s">
        <v>43</v>
      </c>
      <c r="O137" s="23" t="s">
        <v>301</v>
      </c>
      <c r="P137" s="20" t="s">
        <v>302</v>
      </c>
      <c r="Q137" s="20">
        <v>796</v>
      </c>
      <c r="R137" s="20" t="s">
        <v>54</v>
      </c>
      <c r="S137" s="93">
        <v>62</v>
      </c>
      <c r="T137" s="29">
        <f>160-(160*12/112)</f>
        <v>142.85714285714286</v>
      </c>
      <c r="U137" s="29">
        <f t="shared" si="83"/>
        <v>8857.1428571428569</v>
      </c>
      <c r="V137" s="29">
        <f>U137+(U137*12%)</f>
        <v>9920</v>
      </c>
      <c r="W137" s="25"/>
      <c r="X137" s="25">
        <v>2018</v>
      </c>
      <c r="Y137" s="62"/>
      <c r="Z137" s="102"/>
      <c r="AA137" s="102"/>
      <c r="AB137" s="10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52.8">
      <c r="A138" s="3"/>
      <c r="B138" s="20" t="s">
        <v>389</v>
      </c>
      <c r="C138" s="20" t="s">
        <v>36</v>
      </c>
      <c r="D138" s="28" t="s">
        <v>110</v>
      </c>
      <c r="E138" s="20" t="s">
        <v>111</v>
      </c>
      <c r="F138" s="20" t="s">
        <v>319</v>
      </c>
      <c r="G138" s="20"/>
      <c r="H138" s="20" t="s">
        <v>40</v>
      </c>
      <c r="I138" s="20">
        <v>0</v>
      </c>
      <c r="J138" s="22">
        <v>710000000</v>
      </c>
      <c r="K138" s="20" t="s">
        <v>41</v>
      </c>
      <c r="L138" s="20" t="s">
        <v>386</v>
      </c>
      <c r="M138" s="20" t="s">
        <v>42</v>
      </c>
      <c r="N138" s="20" t="s">
        <v>43</v>
      </c>
      <c r="O138" s="23" t="s">
        <v>301</v>
      </c>
      <c r="P138" s="20" t="s">
        <v>302</v>
      </c>
      <c r="Q138" s="20">
        <v>796</v>
      </c>
      <c r="R138" s="20" t="s">
        <v>54</v>
      </c>
      <c r="S138" s="93">
        <v>84</v>
      </c>
      <c r="T138" s="29">
        <f>365-(365*12/112)</f>
        <v>325.89285714285717</v>
      </c>
      <c r="U138" s="29">
        <f t="shared" si="83"/>
        <v>27375.000000000004</v>
      </c>
      <c r="V138" s="29">
        <f t="shared" si="84"/>
        <v>30660.000000000004</v>
      </c>
      <c r="W138" s="25"/>
      <c r="X138" s="25">
        <v>2018</v>
      </c>
      <c r="Y138" s="62"/>
      <c r="Z138" s="102"/>
      <c r="AA138" s="102"/>
      <c r="AB138" s="10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52.8">
      <c r="A139" s="3"/>
      <c r="B139" s="20" t="s">
        <v>391</v>
      </c>
      <c r="C139" s="20" t="s">
        <v>36</v>
      </c>
      <c r="D139" s="28" t="s">
        <v>320</v>
      </c>
      <c r="E139" s="20" t="s">
        <v>115</v>
      </c>
      <c r="F139" s="20" t="s">
        <v>116</v>
      </c>
      <c r="G139" s="20"/>
      <c r="H139" s="20" t="s">
        <v>40</v>
      </c>
      <c r="I139" s="20">
        <v>0</v>
      </c>
      <c r="J139" s="22">
        <v>710000000</v>
      </c>
      <c r="K139" s="20" t="s">
        <v>41</v>
      </c>
      <c r="L139" s="20" t="s">
        <v>386</v>
      </c>
      <c r="M139" s="20" t="s">
        <v>42</v>
      </c>
      <c r="N139" s="20" t="s">
        <v>43</v>
      </c>
      <c r="O139" s="23" t="s">
        <v>301</v>
      </c>
      <c r="P139" s="20" t="s">
        <v>302</v>
      </c>
      <c r="Q139" s="20">
        <v>796</v>
      </c>
      <c r="R139" s="20" t="s">
        <v>54</v>
      </c>
      <c r="S139" s="93">
        <v>300</v>
      </c>
      <c r="T139" s="29">
        <f>50-(50*12/112)</f>
        <v>44.642857142857146</v>
      </c>
      <c r="U139" s="29">
        <f t="shared" si="83"/>
        <v>13392.857142857143</v>
      </c>
      <c r="V139" s="29">
        <f t="shared" si="84"/>
        <v>15000</v>
      </c>
      <c r="W139" s="25"/>
      <c r="X139" s="25">
        <v>2018</v>
      </c>
      <c r="Y139" s="62"/>
      <c r="Z139" s="102"/>
      <c r="AA139" s="102"/>
      <c r="AB139" s="10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52.8">
      <c r="A140" s="3"/>
      <c r="B140" s="20" t="s">
        <v>393</v>
      </c>
      <c r="C140" s="20" t="s">
        <v>36</v>
      </c>
      <c r="D140" s="28" t="s">
        <v>118</v>
      </c>
      <c r="E140" s="20" t="s">
        <v>119</v>
      </c>
      <c r="F140" s="20" t="s">
        <v>321</v>
      </c>
      <c r="G140" s="20"/>
      <c r="H140" s="20" t="s">
        <v>40</v>
      </c>
      <c r="I140" s="20">
        <v>0</v>
      </c>
      <c r="J140" s="22">
        <v>710000000</v>
      </c>
      <c r="K140" s="20" t="s">
        <v>41</v>
      </c>
      <c r="L140" s="20" t="s">
        <v>386</v>
      </c>
      <c r="M140" s="20" t="s">
        <v>42</v>
      </c>
      <c r="N140" s="20" t="s">
        <v>43</v>
      </c>
      <c r="O140" s="23" t="s">
        <v>301</v>
      </c>
      <c r="P140" s="20" t="s">
        <v>302</v>
      </c>
      <c r="Q140" s="20">
        <v>796</v>
      </c>
      <c r="R140" s="20" t="s">
        <v>54</v>
      </c>
      <c r="S140" s="93">
        <v>31</v>
      </c>
      <c r="T140" s="29">
        <f>935-(935*12/112)</f>
        <v>834.82142857142856</v>
      </c>
      <c r="U140" s="29">
        <f t="shared" si="83"/>
        <v>25879.464285714286</v>
      </c>
      <c r="V140" s="29">
        <f t="shared" si="84"/>
        <v>28985</v>
      </c>
      <c r="W140" s="25"/>
      <c r="X140" s="25">
        <v>2018</v>
      </c>
      <c r="Y140" s="62"/>
      <c r="Z140" s="102"/>
      <c r="AA140" s="102"/>
      <c r="AB140" s="10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52.8">
      <c r="A141" s="3"/>
      <c r="B141" s="20" t="s">
        <v>396</v>
      </c>
      <c r="C141" s="20" t="s">
        <v>36</v>
      </c>
      <c r="D141" s="28" t="s">
        <v>118</v>
      </c>
      <c r="E141" s="20" t="s">
        <v>119</v>
      </c>
      <c r="F141" s="20" t="s">
        <v>322</v>
      </c>
      <c r="G141" s="20"/>
      <c r="H141" s="20" t="s">
        <v>40</v>
      </c>
      <c r="I141" s="20">
        <v>0</v>
      </c>
      <c r="J141" s="22">
        <v>710000000</v>
      </c>
      <c r="K141" s="20" t="s">
        <v>41</v>
      </c>
      <c r="L141" s="20" t="s">
        <v>386</v>
      </c>
      <c r="M141" s="20" t="s">
        <v>42</v>
      </c>
      <c r="N141" s="20" t="s">
        <v>43</v>
      </c>
      <c r="O141" s="23" t="s">
        <v>301</v>
      </c>
      <c r="P141" s="20" t="s">
        <v>302</v>
      </c>
      <c r="Q141" s="20">
        <v>796</v>
      </c>
      <c r="R141" s="20" t="s">
        <v>54</v>
      </c>
      <c r="S141" s="93">
        <v>31</v>
      </c>
      <c r="T141" s="29">
        <f>1980-(1980*12/112)</f>
        <v>1767.8571428571429</v>
      </c>
      <c r="U141" s="29">
        <f t="shared" si="83"/>
        <v>54803.571428571428</v>
      </c>
      <c r="V141" s="29">
        <f t="shared" si="84"/>
        <v>61380</v>
      </c>
      <c r="W141" s="25"/>
      <c r="X141" s="25">
        <v>2018</v>
      </c>
      <c r="Y141" s="62"/>
      <c r="Z141" s="102"/>
      <c r="AA141" s="102"/>
      <c r="AB141" s="10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52.8">
      <c r="A142" s="3"/>
      <c r="B142" s="20" t="s">
        <v>398</v>
      </c>
      <c r="C142" s="20" t="s">
        <v>36</v>
      </c>
      <c r="D142" s="28" t="s">
        <v>124</v>
      </c>
      <c r="E142" s="20" t="s">
        <v>125</v>
      </c>
      <c r="F142" s="20" t="s">
        <v>323</v>
      </c>
      <c r="G142" s="20"/>
      <c r="H142" s="20" t="s">
        <v>40</v>
      </c>
      <c r="I142" s="20">
        <v>0</v>
      </c>
      <c r="J142" s="22">
        <v>710000000</v>
      </c>
      <c r="K142" s="20" t="s">
        <v>41</v>
      </c>
      <c r="L142" s="20" t="s">
        <v>386</v>
      </c>
      <c r="M142" s="20" t="s">
        <v>42</v>
      </c>
      <c r="N142" s="20" t="s">
        <v>43</v>
      </c>
      <c r="O142" s="23" t="s">
        <v>301</v>
      </c>
      <c r="P142" s="20" t="s">
        <v>302</v>
      </c>
      <c r="Q142" s="20">
        <v>778</v>
      </c>
      <c r="R142" s="20" t="s">
        <v>77</v>
      </c>
      <c r="S142" s="93">
        <v>310</v>
      </c>
      <c r="T142" s="29">
        <f>800-(800*12/112)</f>
        <v>714.28571428571433</v>
      </c>
      <c r="U142" s="29">
        <f t="shared" si="83"/>
        <v>221428.57142857145</v>
      </c>
      <c r="V142" s="29">
        <f t="shared" si="84"/>
        <v>248000.00000000003</v>
      </c>
      <c r="W142" s="25"/>
      <c r="X142" s="25">
        <v>2018</v>
      </c>
      <c r="Y142" s="62"/>
      <c r="Z142" s="102"/>
      <c r="AA142" s="102"/>
      <c r="AB142" s="10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52.8">
      <c r="A143" s="3"/>
      <c r="B143" s="20" t="s">
        <v>401</v>
      </c>
      <c r="C143" s="20" t="s">
        <v>36</v>
      </c>
      <c r="D143" s="28" t="s">
        <v>128</v>
      </c>
      <c r="E143" s="20" t="s">
        <v>38</v>
      </c>
      <c r="F143" s="20" t="s">
        <v>129</v>
      </c>
      <c r="G143" s="20"/>
      <c r="H143" s="20" t="s">
        <v>40</v>
      </c>
      <c r="I143" s="20">
        <v>0</v>
      </c>
      <c r="J143" s="22">
        <v>710000000</v>
      </c>
      <c r="K143" s="20" t="s">
        <v>41</v>
      </c>
      <c r="L143" s="20" t="s">
        <v>670</v>
      </c>
      <c r="M143" s="20" t="s">
        <v>42</v>
      </c>
      <c r="N143" s="20" t="s">
        <v>43</v>
      </c>
      <c r="O143" s="23" t="s">
        <v>301</v>
      </c>
      <c r="P143" s="20" t="s">
        <v>302</v>
      </c>
      <c r="Q143" s="20">
        <v>796</v>
      </c>
      <c r="R143" s="20" t="s">
        <v>54</v>
      </c>
      <c r="S143" s="93">
        <v>31</v>
      </c>
      <c r="T143" s="29">
        <f>1730-(1730*12/112)</f>
        <v>1544.6428571428571</v>
      </c>
      <c r="U143" s="29">
        <f t="shared" si="83"/>
        <v>47883.928571428572</v>
      </c>
      <c r="V143" s="29">
        <f t="shared" si="84"/>
        <v>53630</v>
      </c>
      <c r="W143" s="25"/>
      <c r="X143" s="25">
        <v>2018</v>
      </c>
      <c r="Y143" s="62"/>
      <c r="Z143" s="102"/>
      <c r="AA143" s="102"/>
      <c r="AB143" s="10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52.8">
      <c r="A144" s="3"/>
      <c r="B144" s="20" t="s">
        <v>404</v>
      </c>
      <c r="C144" s="20" t="s">
        <v>36</v>
      </c>
      <c r="D144" s="28" t="s">
        <v>131</v>
      </c>
      <c r="E144" s="20" t="s">
        <v>326</v>
      </c>
      <c r="F144" s="20" t="s">
        <v>327</v>
      </c>
      <c r="G144" s="20"/>
      <c r="H144" s="20" t="s">
        <v>40</v>
      </c>
      <c r="I144" s="20">
        <v>0</v>
      </c>
      <c r="J144" s="22">
        <v>710000000</v>
      </c>
      <c r="K144" s="20" t="s">
        <v>41</v>
      </c>
      <c r="L144" s="20" t="s">
        <v>386</v>
      </c>
      <c r="M144" s="20" t="s">
        <v>42</v>
      </c>
      <c r="N144" s="20" t="s">
        <v>43</v>
      </c>
      <c r="O144" s="23" t="s">
        <v>301</v>
      </c>
      <c r="P144" s="20" t="s">
        <v>302</v>
      </c>
      <c r="Q144" s="20">
        <v>796</v>
      </c>
      <c r="R144" s="20" t="s">
        <v>54</v>
      </c>
      <c r="S144" s="93">
        <v>310</v>
      </c>
      <c r="T144" s="29">
        <f>275-(275*12/112)</f>
        <v>245.53571428571428</v>
      </c>
      <c r="U144" s="29">
        <f t="shared" si="83"/>
        <v>76116.07142857142</v>
      </c>
      <c r="V144" s="29">
        <f t="shared" si="84"/>
        <v>85249.999999999985</v>
      </c>
      <c r="W144" s="25"/>
      <c r="X144" s="25">
        <v>2018</v>
      </c>
      <c r="Y144" s="62"/>
      <c r="Z144" s="102"/>
      <c r="AA144" s="102"/>
      <c r="AB144" s="10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52.8">
      <c r="A145" s="3"/>
      <c r="B145" s="20" t="s">
        <v>407</v>
      </c>
      <c r="C145" s="20" t="s">
        <v>36</v>
      </c>
      <c r="D145" s="28" t="s">
        <v>135</v>
      </c>
      <c r="E145" s="20" t="s">
        <v>329</v>
      </c>
      <c r="F145" s="20" t="s">
        <v>330</v>
      </c>
      <c r="G145" s="20"/>
      <c r="H145" s="20" t="s">
        <v>40</v>
      </c>
      <c r="I145" s="20">
        <v>0</v>
      </c>
      <c r="J145" s="22">
        <v>710000000</v>
      </c>
      <c r="K145" s="20" t="s">
        <v>41</v>
      </c>
      <c r="L145" s="20" t="s">
        <v>386</v>
      </c>
      <c r="M145" s="20" t="s">
        <v>42</v>
      </c>
      <c r="N145" s="20" t="s">
        <v>43</v>
      </c>
      <c r="O145" s="23" t="s">
        <v>301</v>
      </c>
      <c r="P145" s="20" t="s">
        <v>302</v>
      </c>
      <c r="Q145" s="20">
        <v>796</v>
      </c>
      <c r="R145" s="20" t="s">
        <v>54</v>
      </c>
      <c r="S145" s="93">
        <v>62</v>
      </c>
      <c r="T145" s="29">
        <f>330-(330*12/112)</f>
        <v>294.64285714285717</v>
      </c>
      <c r="U145" s="29">
        <f t="shared" si="83"/>
        <v>18267.857142857145</v>
      </c>
      <c r="V145" s="29">
        <f t="shared" si="84"/>
        <v>20460.000000000004</v>
      </c>
      <c r="W145" s="25"/>
      <c r="X145" s="25">
        <v>2018</v>
      </c>
      <c r="Y145" s="62"/>
      <c r="Z145" s="102"/>
      <c r="AA145" s="102"/>
      <c r="AB145" s="10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52.8">
      <c r="A146" s="3"/>
      <c r="B146" s="20" t="s">
        <v>409</v>
      </c>
      <c r="C146" s="20" t="s">
        <v>36</v>
      </c>
      <c r="D146" s="28" t="s">
        <v>139</v>
      </c>
      <c r="E146" s="20" t="s">
        <v>332</v>
      </c>
      <c r="F146" s="20" t="s">
        <v>333</v>
      </c>
      <c r="G146" s="20"/>
      <c r="H146" s="20" t="s">
        <v>40</v>
      </c>
      <c r="I146" s="20">
        <v>0</v>
      </c>
      <c r="J146" s="22">
        <v>710000000</v>
      </c>
      <c r="K146" s="20" t="s">
        <v>41</v>
      </c>
      <c r="L146" s="20" t="s">
        <v>386</v>
      </c>
      <c r="M146" s="20" t="s">
        <v>42</v>
      </c>
      <c r="N146" s="20" t="s">
        <v>43</v>
      </c>
      <c r="O146" s="23" t="s">
        <v>301</v>
      </c>
      <c r="P146" s="20" t="s">
        <v>302</v>
      </c>
      <c r="Q146" s="20">
        <v>796</v>
      </c>
      <c r="R146" s="20" t="s">
        <v>54</v>
      </c>
      <c r="S146" s="93">
        <v>62</v>
      </c>
      <c r="T146" s="29">
        <f>120-(120*12/112)</f>
        <v>107.14285714285714</v>
      </c>
      <c r="U146" s="29">
        <f t="shared" si="83"/>
        <v>6642.8571428571422</v>
      </c>
      <c r="V146" s="29">
        <f t="shared" si="84"/>
        <v>7439.9999999999991</v>
      </c>
      <c r="W146" s="25"/>
      <c r="X146" s="25">
        <v>2018</v>
      </c>
      <c r="Y146" s="62"/>
      <c r="Z146" s="102"/>
      <c r="AA146" s="102"/>
      <c r="AB146" s="10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52.8">
      <c r="A147" s="3"/>
      <c r="B147" s="20" t="s">
        <v>410</v>
      </c>
      <c r="C147" s="20" t="s">
        <v>36</v>
      </c>
      <c r="D147" s="28" t="s">
        <v>143</v>
      </c>
      <c r="E147" s="20" t="s">
        <v>144</v>
      </c>
      <c r="F147" s="20" t="s">
        <v>335</v>
      </c>
      <c r="G147" s="20"/>
      <c r="H147" s="20" t="s">
        <v>40</v>
      </c>
      <c r="I147" s="20">
        <v>0</v>
      </c>
      <c r="J147" s="22">
        <v>710000000</v>
      </c>
      <c r="K147" s="20" t="s">
        <v>41</v>
      </c>
      <c r="L147" s="20" t="s">
        <v>386</v>
      </c>
      <c r="M147" s="20" t="s">
        <v>42</v>
      </c>
      <c r="N147" s="20" t="s">
        <v>43</v>
      </c>
      <c r="O147" s="23" t="s">
        <v>301</v>
      </c>
      <c r="P147" s="20" t="s">
        <v>302</v>
      </c>
      <c r="Q147" s="20">
        <v>796</v>
      </c>
      <c r="R147" s="20" t="s">
        <v>54</v>
      </c>
      <c r="S147" s="93">
        <v>62</v>
      </c>
      <c r="T147" s="29">
        <f>610-(610*12/112)</f>
        <v>544.64285714285711</v>
      </c>
      <c r="U147" s="29">
        <f t="shared" si="83"/>
        <v>33767.857142857138</v>
      </c>
      <c r="V147" s="29">
        <f t="shared" si="84"/>
        <v>37819.999999999993</v>
      </c>
      <c r="W147" s="25"/>
      <c r="X147" s="25">
        <v>2018</v>
      </c>
      <c r="Y147" s="62"/>
      <c r="Z147" s="102"/>
      <c r="AA147" s="102"/>
      <c r="AB147" s="10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52.8">
      <c r="A148" s="3"/>
      <c r="B148" s="20" t="s">
        <v>412</v>
      </c>
      <c r="C148" s="20" t="s">
        <v>36</v>
      </c>
      <c r="D148" s="28" t="s">
        <v>147</v>
      </c>
      <c r="E148" s="20" t="s">
        <v>148</v>
      </c>
      <c r="F148" s="20" t="s">
        <v>337</v>
      </c>
      <c r="G148" s="20"/>
      <c r="H148" s="20" t="s">
        <v>40</v>
      </c>
      <c r="I148" s="20">
        <v>0</v>
      </c>
      <c r="J148" s="22">
        <v>710000000</v>
      </c>
      <c r="K148" s="20" t="s">
        <v>41</v>
      </c>
      <c r="L148" s="20" t="s">
        <v>386</v>
      </c>
      <c r="M148" s="20" t="s">
        <v>42</v>
      </c>
      <c r="N148" s="20" t="s">
        <v>43</v>
      </c>
      <c r="O148" s="23" t="s">
        <v>301</v>
      </c>
      <c r="P148" s="20" t="s">
        <v>302</v>
      </c>
      <c r="Q148" s="20">
        <v>778</v>
      </c>
      <c r="R148" s="20" t="s">
        <v>77</v>
      </c>
      <c r="S148" s="93">
        <v>31</v>
      </c>
      <c r="T148" s="29">
        <f>185-(185*12/112)</f>
        <v>165.17857142857142</v>
      </c>
      <c r="U148" s="29">
        <f t="shared" si="83"/>
        <v>5120.5357142857138</v>
      </c>
      <c r="V148" s="29">
        <f t="shared" si="84"/>
        <v>5734.9999999999991</v>
      </c>
      <c r="W148" s="25"/>
      <c r="X148" s="25">
        <v>2018</v>
      </c>
      <c r="Y148" s="62"/>
      <c r="Z148" s="102"/>
      <c r="AA148" s="102"/>
      <c r="AB148" s="10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52.8">
      <c r="A149" s="3"/>
      <c r="B149" s="20" t="s">
        <v>415</v>
      </c>
      <c r="C149" s="20" t="s">
        <v>36</v>
      </c>
      <c r="D149" s="28" t="s">
        <v>151</v>
      </c>
      <c r="E149" s="20" t="s">
        <v>152</v>
      </c>
      <c r="F149" s="20" t="s">
        <v>339</v>
      </c>
      <c r="G149" s="20"/>
      <c r="H149" s="20" t="s">
        <v>40</v>
      </c>
      <c r="I149" s="20">
        <v>0</v>
      </c>
      <c r="J149" s="22">
        <v>710000000</v>
      </c>
      <c r="K149" s="20" t="s">
        <v>41</v>
      </c>
      <c r="L149" s="20" t="s">
        <v>386</v>
      </c>
      <c r="M149" s="20" t="s">
        <v>42</v>
      </c>
      <c r="N149" s="20" t="s">
        <v>43</v>
      </c>
      <c r="O149" s="23" t="s">
        <v>301</v>
      </c>
      <c r="P149" s="20" t="s">
        <v>302</v>
      </c>
      <c r="Q149" s="20">
        <v>796</v>
      </c>
      <c r="R149" s="20" t="s">
        <v>54</v>
      </c>
      <c r="S149" s="93">
        <v>620</v>
      </c>
      <c r="T149" s="29">
        <f>145-(145*12/112)</f>
        <v>129.46428571428572</v>
      </c>
      <c r="U149" s="29">
        <f t="shared" si="83"/>
        <v>80267.857142857145</v>
      </c>
      <c r="V149" s="29">
        <f t="shared" si="84"/>
        <v>89900</v>
      </c>
      <c r="W149" s="25"/>
      <c r="X149" s="25">
        <v>2018</v>
      </c>
      <c r="Y149" s="62"/>
      <c r="Z149" s="102"/>
      <c r="AA149" s="102"/>
      <c r="AB149" s="10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52.8">
      <c r="A150" s="3"/>
      <c r="B150" s="20" t="s">
        <v>416</v>
      </c>
      <c r="C150" s="20" t="s">
        <v>36</v>
      </c>
      <c r="D150" s="28" t="s">
        <v>155</v>
      </c>
      <c r="E150" s="20" t="s">
        <v>156</v>
      </c>
      <c r="F150" s="20" t="s">
        <v>341</v>
      </c>
      <c r="G150" s="20"/>
      <c r="H150" s="20" t="s">
        <v>40</v>
      </c>
      <c r="I150" s="20">
        <v>0</v>
      </c>
      <c r="J150" s="22">
        <v>710000000</v>
      </c>
      <c r="K150" s="20" t="s">
        <v>41</v>
      </c>
      <c r="L150" s="20" t="s">
        <v>386</v>
      </c>
      <c r="M150" s="20" t="s">
        <v>42</v>
      </c>
      <c r="N150" s="20" t="s">
        <v>43</v>
      </c>
      <c r="O150" s="23" t="s">
        <v>301</v>
      </c>
      <c r="P150" s="20" t="s">
        <v>302</v>
      </c>
      <c r="Q150" s="20">
        <v>796</v>
      </c>
      <c r="R150" s="20" t="s">
        <v>54</v>
      </c>
      <c r="S150" s="93">
        <v>100</v>
      </c>
      <c r="T150" s="29">
        <f>20-(20*12/112)</f>
        <v>17.857142857142858</v>
      </c>
      <c r="U150" s="29">
        <f t="shared" si="83"/>
        <v>1785.7142857142858</v>
      </c>
      <c r="V150" s="29">
        <f t="shared" si="84"/>
        <v>2000</v>
      </c>
      <c r="W150" s="25"/>
      <c r="X150" s="25">
        <v>2018</v>
      </c>
      <c r="Y150" s="62"/>
      <c r="Z150" s="102"/>
      <c r="AA150" s="102"/>
      <c r="AB150" s="10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52.8">
      <c r="A151" s="3"/>
      <c r="B151" s="20" t="s">
        <v>419</v>
      </c>
      <c r="C151" s="20" t="s">
        <v>36</v>
      </c>
      <c r="D151" s="28" t="s">
        <v>155</v>
      </c>
      <c r="E151" s="20" t="s">
        <v>156</v>
      </c>
      <c r="F151" s="20" t="s">
        <v>343</v>
      </c>
      <c r="G151" s="20"/>
      <c r="H151" s="20" t="s">
        <v>40</v>
      </c>
      <c r="I151" s="20">
        <v>0</v>
      </c>
      <c r="J151" s="22">
        <v>710000000</v>
      </c>
      <c r="K151" s="20" t="s">
        <v>41</v>
      </c>
      <c r="L151" s="20" t="s">
        <v>386</v>
      </c>
      <c r="M151" s="20" t="s">
        <v>42</v>
      </c>
      <c r="N151" s="20" t="s">
        <v>43</v>
      </c>
      <c r="O151" s="23" t="s">
        <v>301</v>
      </c>
      <c r="P151" s="20" t="s">
        <v>302</v>
      </c>
      <c r="Q151" s="20">
        <v>796</v>
      </c>
      <c r="R151" s="20" t="s">
        <v>54</v>
      </c>
      <c r="S151" s="93">
        <v>100</v>
      </c>
      <c r="T151" s="29">
        <f>40-(40*12/112)</f>
        <v>35.714285714285715</v>
      </c>
      <c r="U151" s="29">
        <f t="shared" si="83"/>
        <v>3571.4285714285716</v>
      </c>
      <c r="V151" s="29">
        <f t="shared" si="84"/>
        <v>4000</v>
      </c>
      <c r="W151" s="25"/>
      <c r="X151" s="25">
        <v>2018</v>
      </c>
      <c r="Y151" s="62"/>
      <c r="Z151" s="102"/>
      <c r="AA151" s="102"/>
      <c r="AB151" s="10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52.8">
      <c r="A152" s="3"/>
      <c r="B152" s="20" t="s">
        <v>423</v>
      </c>
      <c r="C152" s="20" t="s">
        <v>36</v>
      </c>
      <c r="D152" s="28" t="s">
        <v>161</v>
      </c>
      <c r="E152" s="20" t="s">
        <v>162</v>
      </c>
      <c r="F152" s="20" t="s">
        <v>345</v>
      </c>
      <c r="G152" s="20"/>
      <c r="H152" s="20" t="s">
        <v>40</v>
      </c>
      <c r="I152" s="20">
        <v>0</v>
      </c>
      <c r="J152" s="22">
        <v>710000000</v>
      </c>
      <c r="K152" s="20" t="s">
        <v>41</v>
      </c>
      <c r="L152" s="20" t="s">
        <v>386</v>
      </c>
      <c r="M152" s="20" t="s">
        <v>42</v>
      </c>
      <c r="N152" s="20" t="s">
        <v>43</v>
      </c>
      <c r="O152" s="23" t="s">
        <v>301</v>
      </c>
      <c r="P152" s="20" t="s">
        <v>302</v>
      </c>
      <c r="Q152" s="20">
        <v>796</v>
      </c>
      <c r="R152" s="20" t="s">
        <v>54</v>
      </c>
      <c r="S152" s="93">
        <v>31</v>
      </c>
      <c r="T152" s="29">
        <f>280-(280*12/112)</f>
        <v>250</v>
      </c>
      <c r="U152" s="29">
        <f t="shared" si="83"/>
        <v>7750</v>
      </c>
      <c r="V152" s="29">
        <f t="shared" si="84"/>
        <v>8680</v>
      </c>
      <c r="W152" s="25"/>
      <c r="X152" s="25">
        <v>2018</v>
      </c>
      <c r="Y152" s="62"/>
      <c r="Z152" s="102"/>
      <c r="AA152" s="102"/>
      <c r="AB152" s="10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52.8">
      <c r="A153" s="3"/>
      <c r="B153" s="20" t="s">
        <v>426</v>
      </c>
      <c r="C153" s="20" t="s">
        <v>36</v>
      </c>
      <c r="D153" s="28" t="s">
        <v>165</v>
      </c>
      <c r="E153" s="20" t="s">
        <v>166</v>
      </c>
      <c r="F153" s="20" t="s">
        <v>347</v>
      </c>
      <c r="G153" s="20"/>
      <c r="H153" s="20" t="s">
        <v>40</v>
      </c>
      <c r="I153" s="20">
        <v>0</v>
      </c>
      <c r="J153" s="22">
        <v>710000000</v>
      </c>
      <c r="K153" s="20" t="s">
        <v>41</v>
      </c>
      <c r="L153" s="20" t="s">
        <v>386</v>
      </c>
      <c r="M153" s="20" t="s">
        <v>42</v>
      </c>
      <c r="N153" s="20" t="s">
        <v>43</v>
      </c>
      <c r="O153" s="23" t="s">
        <v>301</v>
      </c>
      <c r="P153" s="20" t="s">
        <v>302</v>
      </c>
      <c r="Q153" s="20">
        <v>796</v>
      </c>
      <c r="R153" s="20" t="s">
        <v>54</v>
      </c>
      <c r="S153" s="93">
        <v>31</v>
      </c>
      <c r="T153" s="29">
        <f>545-(545*12/112)</f>
        <v>486.60714285714283</v>
      </c>
      <c r="U153" s="29">
        <f t="shared" si="83"/>
        <v>15084.821428571428</v>
      </c>
      <c r="V153" s="29">
        <f t="shared" si="84"/>
        <v>16895</v>
      </c>
      <c r="W153" s="25"/>
      <c r="X153" s="25">
        <v>2018</v>
      </c>
      <c r="Y153" s="62"/>
      <c r="Z153" s="102"/>
      <c r="AA153" s="102"/>
      <c r="AB153" s="10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52.8">
      <c r="A154" s="3"/>
      <c r="B154" s="20" t="s">
        <v>428</v>
      </c>
      <c r="C154" s="20" t="s">
        <v>36</v>
      </c>
      <c r="D154" s="28" t="s">
        <v>165</v>
      </c>
      <c r="E154" s="20" t="s">
        <v>166</v>
      </c>
      <c r="F154" s="20" t="s">
        <v>349</v>
      </c>
      <c r="G154" s="20"/>
      <c r="H154" s="20" t="s">
        <v>40</v>
      </c>
      <c r="I154" s="20">
        <v>0</v>
      </c>
      <c r="J154" s="22">
        <v>710000000</v>
      </c>
      <c r="K154" s="20" t="s">
        <v>41</v>
      </c>
      <c r="L154" s="20" t="s">
        <v>386</v>
      </c>
      <c r="M154" s="20" t="s">
        <v>42</v>
      </c>
      <c r="N154" s="20" t="s">
        <v>43</v>
      </c>
      <c r="O154" s="23" t="s">
        <v>301</v>
      </c>
      <c r="P154" s="20" t="s">
        <v>302</v>
      </c>
      <c r="Q154" s="20">
        <v>796</v>
      </c>
      <c r="R154" s="20" t="s">
        <v>54</v>
      </c>
      <c r="S154" s="93">
        <v>31</v>
      </c>
      <c r="T154" s="29">
        <f>1520-(1520*12/112)</f>
        <v>1357.1428571428571</v>
      </c>
      <c r="U154" s="29">
        <f t="shared" si="83"/>
        <v>42071.428571428572</v>
      </c>
      <c r="V154" s="29">
        <f t="shared" si="84"/>
        <v>47120</v>
      </c>
      <c r="W154" s="25"/>
      <c r="X154" s="25">
        <v>2018</v>
      </c>
      <c r="Y154" s="62"/>
      <c r="Z154" s="102"/>
      <c r="AA154" s="102"/>
      <c r="AB154" s="10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52.8">
      <c r="A155" s="3"/>
      <c r="B155" s="20" t="s">
        <v>431</v>
      </c>
      <c r="C155" s="20" t="s">
        <v>36</v>
      </c>
      <c r="D155" s="28" t="s">
        <v>173</v>
      </c>
      <c r="E155" s="20" t="s">
        <v>351</v>
      </c>
      <c r="F155" s="20" t="s">
        <v>352</v>
      </c>
      <c r="G155" s="20"/>
      <c r="H155" s="20" t="s">
        <v>40</v>
      </c>
      <c r="I155" s="20">
        <v>0</v>
      </c>
      <c r="J155" s="22">
        <v>710000000</v>
      </c>
      <c r="K155" s="20" t="s">
        <v>41</v>
      </c>
      <c r="L155" s="20" t="s">
        <v>386</v>
      </c>
      <c r="M155" s="20" t="s">
        <v>42</v>
      </c>
      <c r="N155" s="20" t="s">
        <v>43</v>
      </c>
      <c r="O155" s="23" t="s">
        <v>301</v>
      </c>
      <c r="P155" s="20" t="s">
        <v>302</v>
      </c>
      <c r="Q155" s="20">
        <v>778</v>
      </c>
      <c r="R155" s="20" t="s">
        <v>77</v>
      </c>
      <c r="S155" s="93">
        <v>840</v>
      </c>
      <c r="T155" s="29">
        <f>50-(50*12/112)</f>
        <v>44.642857142857146</v>
      </c>
      <c r="U155" s="29">
        <f t="shared" si="83"/>
        <v>37500</v>
      </c>
      <c r="V155" s="29">
        <f t="shared" si="84"/>
        <v>42000</v>
      </c>
      <c r="W155" s="25"/>
      <c r="X155" s="25">
        <v>2018</v>
      </c>
      <c r="Y155" s="62"/>
      <c r="Z155" s="102"/>
      <c r="AA155" s="102"/>
      <c r="AB155" s="10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52.8">
      <c r="A156" s="3"/>
      <c r="B156" s="20" t="s">
        <v>433</v>
      </c>
      <c r="C156" s="20" t="s">
        <v>36</v>
      </c>
      <c r="D156" s="28" t="s">
        <v>173</v>
      </c>
      <c r="E156" s="20" t="s">
        <v>351</v>
      </c>
      <c r="F156" s="20" t="s">
        <v>354</v>
      </c>
      <c r="G156" s="20"/>
      <c r="H156" s="20" t="s">
        <v>40</v>
      </c>
      <c r="I156" s="20">
        <v>0</v>
      </c>
      <c r="J156" s="22">
        <v>710000000</v>
      </c>
      <c r="K156" s="20" t="s">
        <v>41</v>
      </c>
      <c r="L156" s="20" t="s">
        <v>386</v>
      </c>
      <c r="M156" s="20" t="s">
        <v>42</v>
      </c>
      <c r="N156" s="20" t="s">
        <v>43</v>
      </c>
      <c r="O156" s="23" t="s">
        <v>301</v>
      </c>
      <c r="P156" s="20" t="s">
        <v>302</v>
      </c>
      <c r="Q156" s="20">
        <v>778</v>
      </c>
      <c r="R156" s="20" t="s">
        <v>77</v>
      </c>
      <c r="S156" s="93">
        <v>840</v>
      </c>
      <c r="T156" s="29">
        <f>57-(57*12/112)</f>
        <v>50.892857142857146</v>
      </c>
      <c r="U156" s="29">
        <f t="shared" si="83"/>
        <v>42750</v>
      </c>
      <c r="V156" s="29">
        <f t="shared" si="84"/>
        <v>47880</v>
      </c>
      <c r="W156" s="25"/>
      <c r="X156" s="26">
        <v>2018</v>
      </c>
      <c r="Y156" s="62"/>
      <c r="Z156" s="102"/>
      <c r="AA156" s="102"/>
      <c r="AB156" s="10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52.8">
      <c r="A157" s="3"/>
      <c r="B157" s="20" t="s">
        <v>436</v>
      </c>
      <c r="C157" s="20" t="s">
        <v>36</v>
      </c>
      <c r="D157" s="28" t="s">
        <v>173</v>
      </c>
      <c r="E157" s="20" t="s">
        <v>351</v>
      </c>
      <c r="F157" s="20" t="s">
        <v>356</v>
      </c>
      <c r="G157" s="20"/>
      <c r="H157" s="20" t="s">
        <v>40</v>
      </c>
      <c r="I157" s="20">
        <v>0</v>
      </c>
      <c r="J157" s="22">
        <v>710000000</v>
      </c>
      <c r="K157" s="20" t="s">
        <v>41</v>
      </c>
      <c r="L157" s="20" t="s">
        <v>386</v>
      </c>
      <c r="M157" s="20" t="s">
        <v>42</v>
      </c>
      <c r="N157" s="20" t="s">
        <v>43</v>
      </c>
      <c r="O157" s="23" t="s">
        <v>301</v>
      </c>
      <c r="P157" s="20" t="s">
        <v>302</v>
      </c>
      <c r="Q157" s="20">
        <v>778</v>
      </c>
      <c r="R157" s="20" t="s">
        <v>77</v>
      </c>
      <c r="S157" s="93">
        <v>20</v>
      </c>
      <c r="T157" s="29">
        <f>1035-(1035*12/112)</f>
        <v>924.10714285714289</v>
      </c>
      <c r="U157" s="29">
        <f t="shared" si="83"/>
        <v>18482.142857142859</v>
      </c>
      <c r="V157" s="29">
        <f t="shared" si="84"/>
        <v>20700</v>
      </c>
      <c r="W157" s="25"/>
      <c r="X157" s="25">
        <v>2018</v>
      </c>
      <c r="Y157" s="62"/>
      <c r="Z157" s="102"/>
      <c r="AA157" s="102"/>
      <c r="AB157" s="10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52.8">
      <c r="A158" s="3"/>
      <c r="B158" s="20" t="s">
        <v>440</v>
      </c>
      <c r="C158" s="20" t="s">
        <v>36</v>
      </c>
      <c r="D158" s="28" t="s">
        <v>181</v>
      </c>
      <c r="E158" s="20" t="s">
        <v>182</v>
      </c>
      <c r="F158" s="20" t="s">
        <v>358</v>
      </c>
      <c r="G158" s="20"/>
      <c r="H158" s="20" t="s">
        <v>40</v>
      </c>
      <c r="I158" s="20">
        <v>0</v>
      </c>
      <c r="J158" s="22">
        <v>710000000</v>
      </c>
      <c r="K158" s="20" t="s">
        <v>41</v>
      </c>
      <c r="L158" s="20" t="s">
        <v>386</v>
      </c>
      <c r="M158" s="20" t="s">
        <v>42</v>
      </c>
      <c r="N158" s="20" t="s">
        <v>43</v>
      </c>
      <c r="O158" s="23" t="s">
        <v>301</v>
      </c>
      <c r="P158" s="20" t="s">
        <v>302</v>
      </c>
      <c r="Q158" s="20">
        <v>796</v>
      </c>
      <c r="R158" s="20" t="s">
        <v>54</v>
      </c>
      <c r="S158" s="93">
        <v>31</v>
      </c>
      <c r="T158" s="29">
        <f>3420-(3420*12/112)</f>
        <v>3053.5714285714284</v>
      </c>
      <c r="U158" s="29">
        <f t="shared" si="83"/>
        <v>94660.714285714275</v>
      </c>
      <c r="V158" s="29">
        <f t="shared" si="84"/>
        <v>106019.99999999999</v>
      </c>
      <c r="W158" s="25"/>
      <c r="X158" s="25">
        <v>2018</v>
      </c>
      <c r="Y158" s="62"/>
      <c r="Z158" s="102"/>
      <c r="AA158" s="102"/>
      <c r="AB158" s="10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52.8">
      <c r="A159" s="3"/>
      <c r="B159" s="20" t="s">
        <v>444</v>
      </c>
      <c r="C159" s="20" t="s">
        <v>36</v>
      </c>
      <c r="D159" s="28" t="s">
        <v>185</v>
      </c>
      <c r="E159" s="20" t="s">
        <v>186</v>
      </c>
      <c r="F159" s="20" t="s">
        <v>360</v>
      </c>
      <c r="G159" s="20"/>
      <c r="H159" s="20" t="s">
        <v>40</v>
      </c>
      <c r="I159" s="20">
        <v>0</v>
      </c>
      <c r="J159" s="22">
        <v>710000000</v>
      </c>
      <c r="K159" s="20" t="s">
        <v>41</v>
      </c>
      <c r="L159" s="20" t="s">
        <v>386</v>
      </c>
      <c r="M159" s="20" t="s">
        <v>42</v>
      </c>
      <c r="N159" s="20" t="s">
        <v>43</v>
      </c>
      <c r="O159" s="23" t="s">
        <v>301</v>
      </c>
      <c r="P159" s="20" t="s">
        <v>302</v>
      </c>
      <c r="Q159" s="20">
        <v>796</v>
      </c>
      <c r="R159" s="20" t="s">
        <v>54</v>
      </c>
      <c r="S159" s="93">
        <v>31</v>
      </c>
      <c r="T159" s="29">
        <f>820-(820*12/112)</f>
        <v>732.14285714285711</v>
      </c>
      <c r="U159" s="29">
        <f t="shared" si="83"/>
        <v>22696.428571428569</v>
      </c>
      <c r="V159" s="29">
        <f t="shared" si="84"/>
        <v>25419.999999999996</v>
      </c>
      <c r="W159" s="25"/>
      <c r="X159" s="25">
        <v>2018</v>
      </c>
      <c r="Y159" s="62"/>
      <c r="Z159" s="102"/>
      <c r="AA159" s="102"/>
      <c r="AB159" s="10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52.8">
      <c r="A160" s="3"/>
      <c r="B160" s="20" t="s">
        <v>446</v>
      </c>
      <c r="C160" s="20" t="s">
        <v>36</v>
      </c>
      <c r="D160" s="28" t="s">
        <v>362</v>
      </c>
      <c r="E160" s="20" t="s">
        <v>363</v>
      </c>
      <c r="F160" s="20" t="s">
        <v>364</v>
      </c>
      <c r="G160" s="20"/>
      <c r="H160" s="20" t="s">
        <v>40</v>
      </c>
      <c r="I160" s="20">
        <v>0</v>
      </c>
      <c r="J160" s="22">
        <v>710000000</v>
      </c>
      <c r="K160" s="20" t="s">
        <v>41</v>
      </c>
      <c r="L160" s="20" t="s">
        <v>386</v>
      </c>
      <c r="M160" s="20" t="s">
        <v>42</v>
      </c>
      <c r="N160" s="20" t="s">
        <v>43</v>
      </c>
      <c r="O160" s="23" t="s">
        <v>301</v>
      </c>
      <c r="P160" s="20" t="s">
        <v>302</v>
      </c>
      <c r="Q160" s="20">
        <v>796</v>
      </c>
      <c r="R160" s="20" t="s">
        <v>54</v>
      </c>
      <c r="S160" s="93">
        <v>840</v>
      </c>
      <c r="T160" s="29">
        <f>195-(195*12/112)</f>
        <v>174.10714285714286</v>
      </c>
      <c r="U160" s="29">
        <f t="shared" si="83"/>
        <v>146250</v>
      </c>
      <c r="V160" s="29">
        <f t="shared" si="84"/>
        <v>163800</v>
      </c>
      <c r="W160" s="25"/>
      <c r="X160" s="25">
        <v>2018</v>
      </c>
      <c r="Y160" s="62"/>
      <c r="Z160" s="102"/>
      <c r="AA160" s="102"/>
      <c r="AB160" s="10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52.8">
      <c r="A161" s="3"/>
      <c r="B161" s="20" t="s">
        <v>450</v>
      </c>
      <c r="C161" s="28" t="s">
        <v>36</v>
      </c>
      <c r="D161" s="28" t="s">
        <v>193</v>
      </c>
      <c r="E161" s="28" t="s">
        <v>194</v>
      </c>
      <c r="F161" s="28" t="s">
        <v>366</v>
      </c>
      <c r="G161" s="28"/>
      <c r="H161" s="40" t="s">
        <v>40</v>
      </c>
      <c r="I161" s="28">
        <v>0</v>
      </c>
      <c r="J161" s="22">
        <v>710000000</v>
      </c>
      <c r="K161" s="28" t="s">
        <v>41</v>
      </c>
      <c r="L161" s="20" t="s">
        <v>386</v>
      </c>
      <c r="M161" s="28" t="s">
        <v>42</v>
      </c>
      <c r="N161" s="28" t="s">
        <v>43</v>
      </c>
      <c r="O161" s="23" t="s">
        <v>367</v>
      </c>
      <c r="P161" s="20" t="s">
        <v>302</v>
      </c>
      <c r="Q161" s="28">
        <v>796</v>
      </c>
      <c r="R161" s="28" t="s">
        <v>54</v>
      </c>
      <c r="S161" s="94">
        <v>31</v>
      </c>
      <c r="T161" s="29">
        <f>3600-(3600*12/112)</f>
        <v>3214.2857142857142</v>
      </c>
      <c r="U161" s="29">
        <f t="shared" si="83"/>
        <v>99642.857142857145</v>
      </c>
      <c r="V161" s="29">
        <f t="shared" si="84"/>
        <v>111600</v>
      </c>
      <c r="W161" s="30"/>
      <c r="X161" s="30">
        <v>2018</v>
      </c>
      <c r="Y161" s="62"/>
      <c r="Z161" s="102"/>
      <c r="AA161" s="102"/>
      <c r="AB161" s="10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52.8">
      <c r="A162" s="3"/>
      <c r="B162" s="20" t="s">
        <v>454</v>
      </c>
      <c r="C162" s="28" t="s">
        <v>36</v>
      </c>
      <c r="D162" s="28" t="s">
        <v>197</v>
      </c>
      <c r="E162" s="28" t="s">
        <v>369</v>
      </c>
      <c r="F162" s="28" t="s">
        <v>370</v>
      </c>
      <c r="G162" s="28"/>
      <c r="H162" s="40" t="s">
        <v>40</v>
      </c>
      <c r="I162" s="28">
        <v>0</v>
      </c>
      <c r="J162" s="22">
        <v>710000000</v>
      </c>
      <c r="K162" s="28" t="s">
        <v>41</v>
      </c>
      <c r="L162" s="20" t="s">
        <v>386</v>
      </c>
      <c r="M162" s="28" t="s">
        <v>42</v>
      </c>
      <c r="N162" s="28" t="s">
        <v>43</v>
      </c>
      <c r="O162" s="23" t="s">
        <v>367</v>
      </c>
      <c r="P162" s="20" t="s">
        <v>302</v>
      </c>
      <c r="Q162" s="28">
        <v>796</v>
      </c>
      <c r="R162" s="28" t="s">
        <v>54</v>
      </c>
      <c r="S162" s="94">
        <v>26</v>
      </c>
      <c r="T162" s="29">
        <f>7700-(7700*12/112)</f>
        <v>6875</v>
      </c>
      <c r="U162" s="29">
        <f t="shared" si="83"/>
        <v>178750</v>
      </c>
      <c r="V162" s="29">
        <f t="shared" si="84"/>
        <v>200200</v>
      </c>
      <c r="W162" s="30"/>
      <c r="X162" s="30">
        <v>2018</v>
      </c>
      <c r="Y162" s="62"/>
      <c r="Z162" s="102"/>
      <c r="AA162" s="102"/>
      <c r="AB162" s="10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52.8">
      <c r="A163" s="3"/>
      <c r="B163" s="20" t="s">
        <v>456</v>
      </c>
      <c r="C163" s="28" t="s">
        <v>36</v>
      </c>
      <c r="D163" s="28" t="s">
        <v>201</v>
      </c>
      <c r="E163" s="28" t="s">
        <v>202</v>
      </c>
      <c r="F163" s="28" t="s">
        <v>372</v>
      </c>
      <c r="G163" s="28"/>
      <c r="H163" s="40" t="s">
        <v>40</v>
      </c>
      <c r="I163" s="28">
        <v>0</v>
      </c>
      <c r="J163" s="22">
        <v>710000000</v>
      </c>
      <c r="K163" s="28" t="s">
        <v>41</v>
      </c>
      <c r="L163" s="20" t="s">
        <v>386</v>
      </c>
      <c r="M163" s="28" t="s">
        <v>42</v>
      </c>
      <c r="N163" s="28" t="s">
        <v>43</v>
      </c>
      <c r="O163" s="23" t="s">
        <v>367</v>
      </c>
      <c r="P163" s="20" t="s">
        <v>302</v>
      </c>
      <c r="Q163" s="28">
        <v>796</v>
      </c>
      <c r="R163" s="28" t="s">
        <v>54</v>
      </c>
      <c r="S163" s="94">
        <v>31</v>
      </c>
      <c r="T163" s="29">
        <f>5600-(5600*12/112)</f>
        <v>5000</v>
      </c>
      <c r="U163" s="29">
        <f t="shared" si="83"/>
        <v>155000</v>
      </c>
      <c r="V163" s="29">
        <f t="shared" si="84"/>
        <v>173600</v>
      </c>
      <c r="W163" s="30"/>
      <c r="X163" s="30">
        <v>2018</v>
      </c>
      <c r="Y163" s="62"/>
      <c r="Z163" s="102"/>
      <c r="AA163" s="102"/>
      <c r="AB163" s="10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52.8">
      <c r="A164" s="3"/>
      <c r="B164" s="20" t="s">
        <v>460</v>
      </c>
      <c r="C164" s="20" t="s">
        <v>36</v>
      </c>
      <c r="D164" s="28" t="s">
        <v>374</v>
      </c>
      <c r="E164" s="20" t="s">
        <v>375</v>
      </c>
      <c r="F164" s="28" t="s">
        <v>376</v>
      </c>
      <c r="G164" s="27"/>
      <c r="H164" s="20" t="s">
        <v>40</v>
      </c>
      <c r="I164" s="20">
        <v>0</v>
      </c>
      <c r="J164" s="22">
        <v>710000000</v>
      </c>
      <c r="K164" s="20" t="s">
        <v>41</v>
      </c>
      <c r="L164" s="20" t="s">
        <v>386</v>
      </c>
      <c r="M164" s="20" t="s">
        <v>42</v>
      </c>
      <c r="N164" s="20" t="s">
        <v>43</v>
      </c>
      <c r="O164" s="23" t="s">
        <v>367</v>
      </c>
      <c r="P164" s="20" t="s">
        <v>302</v>
      </c>
      <c r="Q164" s="20">
        <v>796</v>
      </c>
      <c r="R164" s="20" t="s">
        <v>54</v>
      </c>
      <c r="S164" s="93">
        <v>10</v>
      </c>
      <c r="T164" s="29">
        <f>350-(350*12/112)</f>
        <v>312.5</v>
      </c>
      <c r="U164" s="29">
        <f t="shared" si="83"/>
        <v>3125</v>
      </c>
      <c r="V164" s="29">
        <f t="shared" si="84"/>
        <v>3500</v>
      </c>
      <c r="W164" s="25"/>
      <c r="X164" s="25">
        <v>2018</v>
      </c>
      <c r="Y164" s="62"/>
      <c r="Z164" s="102"/>
      <c r="AA164" s="102"/>
      <c r="AB164" s="10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52.8">
      <c r="A165" s="3"/>
      <c r="B165" s="20" t="s">
        <v>464</v>
      </c>
      <c r="C165" s="20" t="s">
        <v>36</v>
      </c>
      <c r="D165" s="28" t="s">
        <v>283</v>
      </c>
      <c r="E165" s="20" t="s">
        <v>284</v>
      </c>
      <c r="F165" s="28" t="s">
        <v>378</v>
      </c>
      <c r="G165" s="20"/>
      <c r="H165" s="20" t="s">
        <v>40</v>
      </c>
      <c r="I165" s="20">
        <v>0</v>
      </c>
      <c r="J165" s="22">
        <v>710000000</v>
      </c>
      <c r="K165" s="20" t="s">
        <v>41</v>
      </c>
      <c r="L165" s="20" t="s">
        <v>386</v>
      </c>
      <c r="M165" s="20" t="s">
        <v>42</v>
      </c>
      <c r="N165" s="20" t="s">
        <v>43</v>
      </c>
      <c r="O165" s="23" t="s">
        <v>367</v>
      </c>
      <c r="P165" s="20" t="s">
        <v>302</v>
      </c>
      <c r="Q165" s="20">
        <v>778</v>
      </c>
      <c r="R165" s="20" t="s">
        <v>77</v>
      </c>
      <c r="S165" s="93">
        <v>62</v>
      </c>
      <c r="T165" s="29">
        <f>3300-(3300*12/112)</f>
        <v>2946.4285714285716</v>
      </c>
      <c r="U165" s="29">
        <f t="shared" si="83"/>
        <v>182678.57142857145</v>
      </c>
      <c r="V165" s="29">
        <f t="shared" si="84"/>
        <v>204600.00000000003</v>
      </c>
      <c r="W165" s="25"/>
      <c r="X165" s="25">
        <v>2018</v>
      </c>
      <c r="Y165" s="62"/>
      <c r="Z165" s="102"/>
      <c r="AA165" s="102"/>
      <c r="AB165" s="10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52.8">
      <c r="A166" s="3"/>
      <c r="B166" s="20" t="s">
        <v>468</v>
      </c>
      <c r="C166" s="20" t="s">
        <v>36</v>
      </c>
      <c r="D166" s="28" t="s">
        <v>218</v>
      </c>
      <c r="E166" s="20" t="s">
        <v>380</v>
      </c>
      <c r="F166" s="28" t="s">
        <v>381</v>
      </c>
      <c r="G166" s="20"/>
      <c r="H166" s="20" t="s">
        <v>40</v>
      </c>
      <c r="I166" s="20">
        <v>0</v>
      </c>
      <c r="J166" s="22">
        <v>710000000</v>
      </c>
      <c r="K166" s="20" t="s">
        <v>41</v>
      </c>
      <c r="L166" s="20" t="s">
        <v>386</v>
      </c>
      <c r="M166" s="20" t="s">
        <v>42</v>
      </c>
      <c r="N166" s="20" t="s">
        <v>43</v>
      </c>
      <c r="O166" s="23" t="s">
        <v>367</v>
      </c>
      <c r="P166" s="20" t="s">
        <v>302</v>
      </c>
      <c r="Q166" s="20">
        <v>778</v>
      </c>
      <c r="R166" s="20" t="s">
        <v>77</v>
      </c>
      <c r="S166" s="93">
        <v>31</v>
      </c>
      <c r="T166" s="29">
        <f>1200-(1200*12/112)</f>
        <v>1071.4285714285713</v>
      </c>
      <c r="U166" s="29">
        <f t="shared" si="83"/>
        <v>33214.28571428571</v>
      </c>
      <c r="V166" s="29">
        <f t="shared" si="84"/>
        <v>37199.999999999993</v>
      </c>
      <c r="W166" s="25"/>
      <c r="X166" s="25">
        <v>2018</v>
      </c>
      <c r="Y166" s="62"/>
      <c r="Z166" s="102"/>
      <c r="AA166" s="102"/>
      <c r="AB166" s="10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52.8">
      <c r="A167" s="3"/>
      <c r="B167" s="20" t="s">
        <v>472</v>
      </c>
      <c r="C167" s="20" t="s">
        <v>36</v>
      </c>
      <c r="D167" s="28" t="s">
        <v>383</v>
      </c>
      <c r="E167" s="20" t="s">
        <v>384</v>
      </c>
      <c r="F167" s="28" t="s">
        <v>385</v>
      </c>
      <c r="G167" s="20"/>
      <c r="H167" s="20" t="s">
        <v>40</v>
      </c>
      <c r="I167" s="20">
        <v>0</v>
      </c>
      <c r="J167" s="22">
        <v>710000000</v>
      </c>
      <c r="K167" s="20" t="s">
        <v>41</v>
      </c>
      <c r="L167" s="20" t="s">
        <v>670</v>
      </c>
      <c r="M167" s="20" t="s">
        <v>42</v>
      </c>
      <c r="N167" s="20" t="s">
        <v>43</v>
      </c>
      <c r="O167" s="23" t="s">
        <v>367</v>
      </c>
      <c r="P167" s="20" t="s">
        <v>302</v>
      </c>
      <c r="Q167" s="20">
        <v>796</v>
      </c>
      <c r="R167" s="20" t="s">
        <v>54</v>
      </c>
      <c r="S167" s="93">
        <v>5</v>
      </c>
      <c r="T167" s="29">
        <f>4000-(4000*12/112)</f>
        <v>3571.4285714285716</v>
      </c>
      <c r="U167" s="29">
        <f t="shared" si="83"/>
        <v>17857.142857142859</v>
      </c>
      <c r="V167" s="29">
        <f>U167+(U167*12%)</f>
        <v>20000</v>
      </c>
      <c r="W167" s="25"/>
      <c r="X167" s="25">
        <v>2018</v>
      </c>
      <c r="Y167" s="62"/>
      <c r="Z167" s="102"/>
      <c r="AA167" s="102"/>
      <c r="AB167" s="10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52.8">
      <c r="A168" s="3"/>
      <c r="B168" s="20" t="s">
        <v>474</v>
      </c>
      <c r="C168" s="20" t="s">
        <v>36</v>
      </c>
      <c r="D168" s="28" t="s">
        <v>110</v>
      </c>
      <c r="E168" s="20" t="s">
        <v>111</v>
      </c>
      <c r="F168" s="20" t="s">
        <v>388</v>
      </c>
      <c r="G168" s="20"/>
      <c r="H168" s="20" t="s">
        <v>40</v>
      </c>
      <c r="I168" s="20">
        <v>0</v>
      </c>
      <c r="J168" s="22">
        <v>710000000</v>
      </c>
      <c r="K168" s="20" t="s">
        <v>41</v>
      </c>
      <c r="L168" s="20" t="s">
        <v>386</v>
      </c>
      <c r="M168" s="20" t="s">
        <v>42</v>
      </c>
      <c r="N168" s="20" t="s">
        <v>43</v>
      </c>
      <c r="O168" s="23" t="s">
        <v>301</v>
      </c>
      <c r="P168" s="20" t="s">
        <v>302</v>
      </c>
      <c r="Q168" s="20">
        <v>796</v>
      </c>
      <c r="R168" s="20" t="s">
        <v>54</v>
      </c>
      <c r="S168" s="93">
        <v>420</v>
      </c>
      <c r="T168" s="29">
        <f>550-(550*12/112)</f>
        <v>491.07142857142856</v>
      </c>
      <c r="U168" s="29">
        <f t="shared" si="83"/>
        <v>206250</v>
      </c>
      <c r="V168" s="29">
        <f t="shared" si="84"/>
        <v>231000</v>
      </c>
      <c r="W168" s="25"/>
      <c r="X168" s="25">
        <v>2018</v>
      </c>
      <c r="Y168" s="62"/>
      <c r="Z168" s="102"/>
      <c r="AA168" s="102"/>
      <c r="AB168" s="10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52.8">
      <c r="A169" s="3"/>
      <c r="B169" s="20" t="s">
        <v>478</v>
      </c>
      <c r="C169" s="20" t="s">
        <v>36</v>
      </c>
      <c r="D169" s="28" t="s">
        <v>225</v>
      </c>
      <c r="E169" s="20" t="s">
        <v>226</v>
      </c>
      <c r="F169" s="20" t="s">
        <v>390</v>
      </c>
      <c r="G169" s="20"/>
      <c r="H169" s="20" t="s">
        <v>40</v>
      </c>
      <c r="I169" s="20">
        <v>0</v>
      </c>
      <c r="J169" s="22">
        <v>710000000</v>
      </c>
      <c r="K169" s="20" t="s">
        <v>41</v>
      </c>
      <c r="L169" s="20" t="s">
        <v>386</v>
      </c>
      <c r="M169" s="20" t="s">
        <v>42</v>
      </c>
      <c r="N169" s="20" t="s">
        <v>43</v>
      </c>
      <c r="O169" s="23" t="s">
        <v>301</v>
      </c>
      <c r="P169" s="20" t="s">
        <v>302</v>
      </c>
      <c r="Q169" s="20">
        <v>796</v>
      </c>
      <c r="R169" s="20" t="s">
        <v>54</v>
      </c>
      <c r="S169" s="93">
        <v>31</v>
      </c>
      <c r="T169" s="29">
        <f>95-(95*12/112)</f>
        <v>84.821428571428569</v>
      </c>
      <c r="U169" s="29">
        <f t="shared" si="83"/>
        <v>2629.4642857142858</v>
      </c>
      <c r="V169" s="29">
        <f t="shared" si="84"/>
        <v>2945</v>
      </c>
      <c r="W169" s="25"/>
      <c r="X169" s="25">
        <v>2018</v>
      </c>
      <c r="Y169" s="62"/>
      <c r="Z169" s="102"/>
      <c r="AA169" s="102"/>
      <c r="AB169" s="10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52.8">
      <c r="A170" s="3"/>
      <c r="B170" s="20" t="s">
        <v>482</v>
      </c>
      <c r="C170" s="20" t="s">
        <v>36</v>
      </c>
      <c r="D170" s="28" t="s">
        <v>229</v>
      </c>
      <c r="E170" s="20" t="s">
        <v>226</v>
      </c>
      <c r="F170" s="20" t="s">
        <v>392</v>
      </c>
      <c r="G170" s="20"/>
      <c r="H170" s="20" t="s">
        <v>40</v>
      </c>
      <c r="I170" s="20">
        <v>0</v>
      </c>
      <c r="J170" s="22">
        <v>710000000</v>
      </c>
      <c r="K170" s="20" t="s">
        <v>41</v>
      </c>
      <c r="L170" s="20" t="s">
        <v>670</v>
      </c>
      <c r="M170" s="20" t="s">
        <v>42</v>
      </c>
      <c r="N170" s="20" t="s">
        <v>43</v>
      </c>
      <c r="O170" s="23" t="s">
        <v>301</v>
      </c>
      <c r="P170" s="20" t="s">
        <v>302</v>
      </c>
      <c r="Q170" s="20">
        <v>796</v>
      </c>
      <c r="R170" s="20" t="s">
        <v>54</v>
      </c>
      <c r="S170" s="93">
        <v>12</v>
      </c>
      <c r="T170" s="29">
        <f>3900-(3900*12/112)</f>
        <v>3482.1428571428573</v>
      </c>
      <c r="U170" s="29">
        <f t="shared" si="83"/>
        <v>41785.71428571429</v>
      </c>
      <c r="V170" s="29">
        <f t="shared" si="84"/>
        <v>46800.000000000007</v>
      </c>
      <c r="W170" s="25"/>
      <c r="X170" s="25">
        <v>2018</v>
      </c>
      <c r="Y170" s="62"/>
      <c r="Z170" s="102"/>
      <c r="AA170" s="102"/>
      <c r="AB170" s="10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52.8">
      <c r="A171" s="3"/>
      <c r="B171" s="20" t="s">
        <v>484</v>
      </c>
      <c r="C171" s="20" t="s">
        <v>36</v>
      </c>
      <c r="D171" s="28" t="s">
        <v>233</v>
      </c>
      <c r="E171" s="20" t="s">
        <v>394</v>
      </c>
      <c r="F171" s="20" t="s">
        <v>395</v>
      </c>
      <c r="G171" s="20"/>
      <c r="H171" s="20" t="s">
        <v>40</v>
      </c>
      <c r="I171" s="20">
        <v>0</v>
      </c>
      <c r="J171" s="22">
        <v>710000000</v>
      </c>
      <c r="K171" s="20" t="s">
        <v>41</v>
      </c>
      <c r="L171" s="20" t="s">
        <v>670</v>
      </c>
      <c r="M171" s="20" t="s">
        <v>42</v>
      </c>
      <c r="N171" s="20" t="s">
        <v>43</v>
      </c>
      <c r="O171" s="23" t="s">
        <v>301</v>
      </c>
      <c r="P171" s="20" t="s">
        <v>302</v>
      </c>
      <c r="Q171" s="20">
        <v>704</v>
      </c>
      <c r="R171" s="20" t="s">
        <v>315</v>
      </c>
      <c r="S171" s="93">
        <v>62</v>
      </c>
      <c r="T171" s="29">
        <f>780-(780*12/112)</f>
        <v>696.42857142857144</v>
      </c>
      <c r="U171" s="29">
        <f t="shared" si="83"/>
        <v>43178.571428571428</v>
      </c>
      <c r="V171" s="29">
        <f t="shared" si="84"/>
        <v>48360</v>
      </c>
      <c r="W171" s="25"/>
      <c r="X171" s="25">
        <v>2018</v>
      </c>
      <c r="Y171" s="62"/>
      <c r="Z171" s="102"/>
      <c r="AA171" s="102"/>
      <c r="AB171" s="10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52.8">
      <c r="A172" s="3"/>
      <c r="B172" s="20" t="s">
        <v>488</v>
      </c>
      <c r="C172" s="20" t="s">
        <v>36</v>
      </c>
      <c r="D172" s="28" t="s">
        <v>233</v>
      </c>
      <c r="E172" s="20" t="s">
        <v>394</v>
      </c>
      <c r="F172" s="20" t="s">
        <v>397</v>
      </c>
      <c r="G172" s="20"/>
      <c r="H172" s="20" t="s">
        <v>40</v>
      </c>
      <c r="I172" s="20">
        <v>0</v>
      </c>
      <c r="J172" s="22">
        <v>710000000</v>
      </c>
      <c r="K172" s="20" t="s">
        <v>41</v>
      </c>
      <c r="L172" s="20" t="s">
        <v>670</v>
      </c>
      <c r="M172" s="20" t="s">
        <v>42</v>
      </c>
      <c r="N172" s="20" t="s">
        <v>43</v>
      </c>
      <c r="O172" s="23" t="s">
        <v>301</v>
      </c>
      <c r="P172" s="20" t="s">
        <v>302</v>
      </c>
      <c r="Q172" s="20">
        <v>704</v>
      </c>
      <c r="R172" s="20" t="s">
        <v>315</v>
      </c>
      <c r="S172" s="93">
        <v>420</v>
      </c>
      <c r="T172" s="29">
        <f>510-(510*12/112)</f>
        <v>455.35714285714283</v>
      </c>
      <c r="U172" s="29">
        <f t="shared" si="83"/>
        <v>191250</v>
      </c>
      <c r="V172" s="29">
        <f t="shared" si="84"/>
        <v>214200</v>
      </c>
      <c r="W172" s="25"/>
      <c r="X172" s="25">
        <v>2018</v>
      </c>
      <c r="Y172" s="62"/>
      <c r="Z172" s="102"/>
      <c r="AA172" s="102"/>
      <c r="AB172" s="10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52.8">
      <c r="A173" s="3"/>
      <c r="B173" s="20" t="s">
        <v>491</v>
      </c>
      <c r="C173" s="20" t="s">
        <v>36</v>
      </c>
      <c r="D173" s="28" t="s">
        <v>110</v>
      </c>
      <c r="E173" s="20" t="s">
        <v>399</v>
      </c>
      <c r="F173" s="20" t="s">
        <v>400</v>
      </c>
      <c r="G173" s="20"/>
      <c r="H173" s="20" t="s">
        <v>40</v>
      </c>
      <c r="I173" s="20">
        <v>0</v>
      </c>
      <c r="J173" s="22">
        <v>710000000</v>
      </c>
      <c r="K173" s="20" t="s">
        <v>41</v>
      </c>
      <c r="L173" s="20" t="s">
        <v>386</v>
      </c>
      <c r="M173" s="20" t="s">
        <v>42</v>
      </c>
      <c r="N173" s="20" t="s">
        <v>43</v>
      </c>
      <c r="O173" s="23" t="s">
        <v>301</v>
      </c>
      <c r="P173" s="20" t="s">
        <v>302</v>
      </c>
      <c r="Q173" s="20">
        <v>796</v>
      </c>
      <c r="R173" s="20" t="s">
        <v>54</v>
      </c>
      <c r="S173" s="93">
        <v>31</v>
      </c>
      <c r="T173" s="29">
        <f>825-(825*12/112)</f>
        <v>736.60714285714289</v>
      </c>
      <c r="U173" s="29">
        <f t="shared" si="83"/>
        <v>22834.821428571431</v>
      </c>
      <c r="V173" s="29">
        <f t="shared" si="84"/>
        <v>25575.000000000004</v>
      </c>
      <c r="W173" s="25"/>
      <c r="X173" s="25">
        <v>2018</v>
      </c>
      <c r="Y173" s="62"/>
      <c r="Z173" s="102"/>
      <c r="AA173" s="102"/>
      <c r="AB173" s="10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52.8">
      <c r="A174" s="3"/>
      <c r="B174" s="20" t="s">
        <v>493</v>
      </c>
      <c r="C174" s="20" t="s">
        <v>36</v>
      </c>
      <c r="D174" s="28" t="s">
        <v>243</v>
      </c>
      <c r="E174" s="20" t="s">
        <v>402</v>
      </c>
      <c r="F174" s="20" t="s">
        <v>403</v>
      </c>
      <c r="G174" s="20"/>
      <c r="H174" s="20" t="s">
        <v>40</v>
      </c>
      <c r="I174" s="20">
        <v>0</v>
      </c>
      <c r="J174" s="22">
        <v>710000000</v>
      </c>
      <c r="K174" s="20" t="s">
        <v>41</v>
      </c>
      <c r="L174" s="20" t="s">
        <v>386</v>
      </c>
      <c r="M174" s="20" t="s">
        <v>42</v>
      </c>
      <c r="N174" s="20" t="s">
        <v>43</v>
      </c>
      <c r="O174" s="23" t="s">
        <v>301</v>
      </c>
      <c r="P174" s="20" t="s">
        <v>302</v>
      </c>
      <c r="Q174" s="20">
        <v>796</v>
      </c>
      <c r="R174" s="20" t="s">
        <v>54</v>
      </c>
      <c r="S174" s="93">
        <v>10</v>
      </c>
      <c r="T174" s="29">
        <f>510-(510*12/112)</f>
        <v>455.35714285714283</v>
      </c>
      <c r="U174" s="29">
        <f t="shared" ref="U174:U176" si="86">S174*T174</f>
        <v>4553.5714285714284</v>
      </c>
      <c r="V174" s="29">
        <f t="shared" si="84"/>
        <v>5100</v>
      </c>
      <c r="W174" s="25"/>
      <c r="X174" s="25">
        <v>2018</v>
      </c>
      <c r="Y174" s="62"/>
      <c r="Z174" s="102"/>
      <c r="AA174" s="102"/>
      <c r="AB174" s="10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52.8">
      <c r="A175" s="3"/>
      <c r="B175" s="20" t="s">
        <v>497</v>
      </c>
      <c r="C175" s="20" t="s">
        <v>36</v>
      </c>
      <c r="D175" s="28" t="s">
        <v>247</v>
      </c>
      <c r="E175" s="28" t="s">
        <v>405</v>
      </c>
      <c r="F175" s="28" t="s">
        <v>406</v>
      </c>
      <c r="G175" s="28"/>
      <c r="H175" s="20" t="s">
        <v>40</v>
      </c>
      <c r="I175" s="28">
        <v>0</v>
      </c>
      <c r="J175" s="22">
        <v>710000000</v>
      </c>
      <c r="K175" s="28" t="s">
        <v>41</v>
      </c>
      <c r="L175" s="20" t="s">
        <v>386</v>
      </c>
      <c r="M175" s="28" t="s">
        <v>42</v>
      </c>
      <c r="N175" s="28" t="s">
        <v>43</v>
      </c>
      <c r="O175" s="23" t="s">
        <v>301</v>
      </c>
      <c r="P175" s="20" t="s">
        <v>302</v>
      </c>
      <c r="Q175" s="28">
        <v>796</v>
      </c>
      <c r="R175" s="28" t="s">
        <v>54</v>
      </c>
      <c r="S175" s="94">
        <v>10</v>
      </c>
      <c r="T175" s="29">
        <f>630-(630*12/112)</f>
        <v>562.5</v>
      </c>
      <c r="U175" s="29">
        <f t="shared" si="86"/>
        <v>5625</v>
      </c>
      <c r="V175" s="29">
        <f t="shared" si="84"/>
        <v>6300</v>
      </c>
      <c r="W175" s="30"/>
      <c r="X175" s="25">
        <v>2018</v>
      </c>
      <c r="Y175" s="62"/>
      <c r="Z175" s="102"/>
      <c r="AA175" s="102"/>
      <c r="AB175" s="10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52.8">
      <c r="A176" s="3"/>
      <c r="B176" s="20" t="s">
        <v>501</v>
      </c>
      <c r="C176" s="20" t="s">
        <v>36</v>
      </c>
      <c r="D176" s="28" t="s">
        <v>37</v>
      </c>
      <c r="E176" s="20" t="s">
        <v>298</v>
      </c>
      <c r="F176" s="20" t="s">
        <v>408</v>
      </c>
      <c r="G176" s="20"/>
      <c r="H176" s="20" t="s">
        <v>40</v>
      </c>
      <c r="I176" s="20">
        <v>0</v>
      </c>
      <c r="J176" s="22">
        <v>710000000</v>
      </c>
      <c r="K176" s="20" t="s">
        <v>41</v>
      </c>
      <c r="L176" s="20" t="s">
        <v>386</v>
      </c>
      <c r="M176" s="20" t="s">
        <v>42</v>
      </c>
      <c r="N176" s="20" t="s">
        <v>43</v>
      </c>
      <c r="O176" s="23" t="s">
        <v>301</v>
      </c>
      <c r="P176" s="20" t="s">
        <v>302</v>
      </c>
      <c r="Q176" s="20">
        <v>5111</v>
      </c>
      <c r="R176" s="20" t="s">
        <v>44</v>
      </c>
      <c r="S176" s="93">
        <v>40</v>
      </c>
      <c r="T176" s="29">
        <f>3520-(3520*12/112)</f>
        <v>3142.8571428571427</v>
      </c>
      <c r="U176" s="29">
        <f t="shared" si="86"/>
        <v>125714.28571428571</v>
      </c>
      <c r="V176" s="29">
        <f t="shared" si="84"/>
        <v>140800</v>
      </c>
      <c r="W176" s="25"/>
      <c r="X176" s="25">
        <v>2018</v>
      </c>
      <c r="Y176" s="62"/>
      <c r="Z176" s="102"/>
      <c r="AA176" s="102"/>
      <c r="AB176" s="10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52.8">
      <c r="A177" s="3"/>
      <c r="B177" s="20" t="s">
        <v>505</v>
      </c>
      <c r="C177" s="20" t="s">
        <v>36</v>
      </c>
      <c r="D177" s="28" t="s">
        <v>254</v>
      </c>
      <c r="E177" s="20" t="s">
        <v>255</v>
      </c>
      <c r="F177" s="20" t="s">
        <v>256</v>
      </c>
      <c r="G177" s="20"/>
      <c r="H177" s="20" t="s">
        <v>40</v>
      </c>
      <c r="I177" s="20">
        <v>0</v>
      </c>
      <c r="J177" s="22">
        <v>710000000</v>
      </c>
      <c r="K177" s="20" t="s">
        <v>41</v>
      </c>
      <c r="L177" s="20" t="s">
        <v>386</v>
      </c>
      <c r="M177" s="20" t="s">
        <v>42</v>
      </c>
      <c r="N177" s="20" t="s">
        <v>43</v>
      </c>
      <c r="O177" s="23" t="s">
        <v>301</v>
      </c>
      <c r="P177" s="20" t="s">
        <v>302</v>
      </c>
      <c r="Q177" s="20">
        <v>796</v>
      </c>
      <c r="R177" s="20" t="s">
        <v>54</v>
      </c>
      <c r="S177" s="93">
        <v>30</v>
      </c>
      <c r="T177" s="29">
        <f>27-(27*12/112)</f>
        <v>24.107142857142858</v>
      </c>
      <c r="U177" s="29">
        <v>715</v>
      </c>
      <c r="V177" s="29">
        <f t="shared" si="84"/>
        <v>800.8</v>
      </c>
      <c r="W177" s="25"/>
      <c r="X177" s="25">
        <v>2018</v>
      </c>
      <c r="Y177" s="62"/>
      <c r="Z177" s="102"/>
      <c r="AA177" s="102"/>
      <c r="AB177" s="10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52.8">
      <c r="A178" s="3"/>
      <c r="B178" s="20" t="s">
        <v>509</v>
      </c>
      <c r="C178" s="20" t="s">
        <v>36</v>
      </c>
      <c r="D178" s="28" t="s">
        <v>258</v>
      </c>
      <c r="E178" s="20" t="s">
        <v>255</v>
      </c>
      <c r="F178" s="20" t="s">
        <v>411</v>
      </c>
      <c r="G178" s="20"/>
      <c r="H178" s="20" t="s">
        <v>40</v>
      </c>
      <c r="I178" s="20">
        <v>0</v>
      </c>
      <c r="J178" s="22">
        <v>710000000</v>
      </c>
      <c r="K178" s="20" t="s">
        <v>41</v>
      </c>
      <c r="L178" s="20" t="s">
        <v>386</v>
      </c>
      <c r="M178" s="20" t="s">
        <v>42</v>
      </c>
      <c r="N178" s="20" t="s">
        <v>43</v>
      </c>
      <c r="O178" s="23" t="s">
        <v>301</v>
      </c>
      <c r="P178" s="20" t="s">
        <v>302</v>
      </c>
      <c r="Q178" s="20">
        <v>796</v>
      </c>
      <c r="R178" s="20" t="s">
        <v>54</v>
      </c>
      <c r="S178" s="93">
        <v>30</v>
      </c>
      <c r="T178" s="29">
        <f>48-(48*12/112)</f>
        <v>42.857142857142854</v>
      </c>
      <c r="U178" s="29">
        <f t="shared" ref="U178:U240" si="87">S178*T178</f>
        <v>1285.7142857142856</v>
      </c>
      <c r="V178" s="29">
        <f t="shared" si="84"/>
        <v>1439.9999999999998</v>
      </c>
      <c r="W178" s="25"/>
      <c r="X178" s="25">
        <v>2018</v>
      </c>
      <c r="Y178" s="62"/>
      <c r="Z178" s="102"/>
      <c r="AA178" s="102"/>
      <c r="AB178" s="10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52.8">
      <c r="A179" s="3"/>
      <c r="B179" s="20" t="s">
        <v>510</v>
      </c>
      <c r="C179" s="20" t="s">
        <v>36</v>
      </c>
      <c r="D179" s="28" t="s">
        <v>261</v>
      </c>
      <c r="E179" s="20" t="s">
        <v>413</v>
      </c>
      <c r="F179" s="20" t="s">
        <v>414</v>
      </c>
      <c r="G179" s="20"/>
      <c r="H179" s="20" t="s">
        <v>40</v>
      </c>
      <c r="I179" s="20">
        <v>0</v>
      </c>
      <c r="J179" s="22">
        <v>710000000</v>
      </c>
      <c r="K179" s="20" t="s">
        <v>41</v>
      </c>
      <c r="L179" s="20" t="s">
        <v>386</v>
      </c>
      <c r="M179" s="20" t="s">
        <v>42</v>
      </c>
      <c r="N179" s="20" t="s">
        <v>43</v>
      </c>
      <c r="O179" s="23" t="s">
        <v>301</v>
      </c>
      <c r="P179" s="20" t="s">
        <v>302</v>
      </c>
      <c r="Q179" s="20">
        <v>796</v>
      </c>
      <c r="R179" s="20" t="s">
        <v>54</v>
      </c>
      <c r="S179" s="93">
        <v>60</v>
      </c>
      <c r="T179" s="29">
        <f>72-(72*12/112)</f>
        <v>64.285714285714292</v>
      </c>
      <c r="U179" s="29">
        <f t="shared" si="87"/>
        <v>3857.1428571428573</v>
      </c>
      <c r="V179" s="29">
        <f t="shared" si="84"/>
        <v>4320</v>
      </c>
      <c r="W179" s="25"/>
      <c r="X179" s="25">
        <v>2018</v>
      </c>
      <c r="Y179" s="62"/>
      <c r="Z179" s="102"/>
      <c r="AA179" s="102"/>
      <c r="AB179" s="10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52.8">
      <c r="A180" s="3"/>
      <c r="B180" s="20" t="s">
        <v>511</v>
      </c>
      <c r="C180" s="20" t="s">
        <v>36</v>
      </c>
      <c r="D180" s="28" t="s">
        <v>265</v>
      </c>
      <c r="E180" s="20" t="s">
        <v>111</v>
      </c>
      <c r="F180" s="20" t="s">
        <v>266</v>
      </c>
      <c r="G180" s="20"/>
      <c r="H180" s="20" t="s">
        <v>40</v>
      </c>
      <c r="I180" s="20">
        <v>0</v>
      </c>
      <c r="J180" s="22">
        <v>710000000</v>
      </c>
      <c r="K180" s="20" t="s">
        <v>41</v>
      </c>
      <c r="L180" s="20" t="s">
        <v>386</v>
      </c>
      <c r="M180" s="20" t="s">
        <v>42</v>
      </c>
      <c r="N180" s="20" t="s">
        <v>43</v>
      </c>
      <c r="O180" s="23" t="s">
        <v>301</v>
      </c>
      <c r="P180" s="20" t="s">
        <v>302</v>
      </c>
      <c r="Q180" s="20">
        <v>796</v>
      </c>
      <c r="R180" s="20" t="s">
        <v>54</v>
      </c>
      <c r="S180" s="93">
        <v>62</v>
      </c>
      <c r="T180" s="24">
        <f>755-(755*12/112)</f>
        <v>674.10714285714289</v>
      </c>
      <c r="U180" s="24">
        <f t="shared" si="87"/>
        <v>41794.642857142862</v>
      </c>
      <c r="V180" s="24">
        <f t="shared" si="84"/>
        <v>46810.000000000007</v>
      </c>
      <c r="W180" s="25"/>
      <c r="X180" s="25">
        <v>2018</v>
      </c>
      <c r="Y180" s="62"/>
      <c r="Z180" s="102"/>
      <c r="AA180" s="102"/>
      <c r="AB180" s="10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52.8">
      <c r="A181" s="3"/>
      <c r="B181" s="20" t="s">
        <v>513</v>
      </c>
      <c r="C181" s="20" t="s">
        <v>36</v>
      </c>
      <c r="D181" s="28" t="s">
        <v>268</v>
      </c>
      <c r="E181" s="20" t="s">
        <v>417</v>
      </c>
      <c r="F181" s="20" t="s">
        <v>418</v>
      </c>
      <c r="G181" s="20"/>
      <c r="H181" s="20" t="s">
        <v>40</v>
      </c>
      <c r="I181" s="20">
        <v>0</v>
      </c>
      <c r="J181" s="22">
        <v>710000000</v>
      </c>
      <c r="K181" s="20" t="s">
        <v>41</v>
      </c>
      <c r="L181" s="20" t="s">
        <v>386</v>
      </c>
      <c r="M181" s="20" t="s">
        <v>42</v>
      </c>
      <c r="N181" s="20" t="s">
        <v>43</v>
      </c>
      <c r="O181" s="23" t="s">
        <v>301</v>
      </c>
      <c r="P181" s="20" t="s">
        <v>302</v>
      </c>
      <c r="Q181" s="20">
        <v>796</v>
      </c>
      <c r="R181" s="20" t="s">
        <v>54</v>
      </c>
      <c r="S181" s="93">
        <v>3</v>
      </c>
      <c r="T181" s="24">
        <f>185-(185*12/112)</f>
        <v>165.17857142857142</v>
      </c>
      <c r="U181" s="24">
        <f t="shared" si="87"/>
        <v>495.53571428571422</v>
      </c>
      <c r="V181" s="24">
        <f t="shared" si="84"/>
        <v>554.99999999999989</v>
      </c>
      <c r="W181" s="25"/>
      <c r="X181" s="25">
        <v>2018</v>
      </c>
      <c r="Y181" s="62"/>
      <c r="Z181" s="102"/>
      <c r="AA181" s="102"/>
      <c r="AB181" s="10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52.8">
      <c r="A182" s="3"/>
      <c r="B182" s="20" t="s">
        <v>517</v>
      </c>
      <c r="C182" s="20" t="s">
        <v>36</v>
      </c>
      <c r="D182" s="28" t="s">
        <v>420</v>
      </c>
      <c r="E182" s="20" t="s">
        <v>421</v>
      </c>
      <c r="F182" s="28" t="s">
        <v>422</v>
      </c>
      <c r="G182" s="20"/>
      <c r="H182" s="20" t="s">
        <v>40</v>
      </c>
      <c r="I182" s="20">
        <v>0</v>
      </c>
      <c r="J182" s="22">
        <v>710000000</v>
      </c>
      <c r="K182" s="20" t="s">
        <v>41</v>
      </c>
      <c r="L182" s="20" t="s">
        <v>386</v>
      </c>
      <c r="M182" s="20" t="s">
        <v>42</v>
      </c>
      <c r="N182" s="20" t="s">
        <v>43</v>
      </c>
      <c r="O182" s="23" t="s">
        <v>367</v>
      </c>
      <c r="P182" s="20" t="s">
        <v>302</v>
      </c>
      <c r="Q182" s="20">
        <v>796</v>
      </c>
      <c r="R182" s="20" t="s">
        <v>54</v>
      </c>
      <c r="S182" s="93">
        <v>10</v>
      </c>
      <c r="T182" s="24">
        <f>40000-(40000*12/112)</f>
        <v>35714.285714285717</v>
      </c>
      <c r="U182" s="24">
        <f t="shared" si="87"/>
        <v>357142.85714285716</v>
      </c>
      <c r="V182" s="24">
        <f t="shared" ref="V182:V199" si="88">U182+(U182*12%)</f>
        <v>400000</v>
      </c>
      <c r="W182" s="25"/>
      <c r="X182" s="25">
        <v>2018</v>
      </c>
      <c r="Y182" s="62"/>
      <c r="Z182" s="102"/>
      <c r="AA182" s="102"/>
      <c r="AB182" s="10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52.8">
      <c r="A183" s="3"/>
      <c r="B183" s="20" t="s">
        <v>521</v>
      </c>
      <c r="C183" s="20" t="s">
        <v>36</v>
      </c>
      <c r="D183" s="28" t="s">
        <v>276</v>
      </c>
      <c r="E183" s="20" t="s">
        <v>424</v>
      </c>
      <c r="F183" s="20" t="s">
        <v>425</v>
      </c>
      <c r="G183" s="20"/>
      <c r="H183" s="20" t="s">
        <v>40</v>
      </c>
      <c r="I183" s="20">
        <v>0</v>
      </c>
      <c r="J183" s="22">
        <v>710000000</v>
      </c>
      <c r="K183" s="20" t="s">
        <v>41</v>
      </c>
      <c r="L183" s="20" t="s">
        <v>386</v>
      </c>
      <c r="M183" s="20" t="s">
        <v>42</v>
      </c>
      <c r="N183" s="20" t="s">
        <v>43</v>
      </c>
      <c r="O183" s="23" t="s">
        <v>367</v>
      </c>
      <c r="P183" s="20" t="s">
        <v>302</v>
      </c>
      <c r="Q183" s="20">
        <v>796</v>
      </c>
      <c r="R183" s="20" t="s">
        <v>54</v>
      </c>
      <c r="S183" s="93">
        <v>9</v>
      </c>
      <c r="T183" s="24">
        <f>35000-(35000*12/112)</f>
        <v>31250</v>
      </c>
      <c r="U183" s="24">
        <f t="shared" si="87"/>
        <v>281250</v>
      </c>
      <c r="V183" s="24">
        <f t="shared" si="88"/>
        <v>315000</v>
      </c>
      <c r="W183" s="25"/>
      <c r="X183" s="25">
        <v>2018</v>
      </c>
      <c r="Y183" s="62"/>
      <c r="Z183" s="102"/>
      <c r="AA183" s="102"/>
      <c r="AB183" s="10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52.8">
      <c r="A184" s="3"/>
      <c r="B184" s="20" t="s">
        <v>525</v>
      </c>
      <c r="C184" s="20" t="s">
        <v>36</v>
      </c>
      <c r="D184" s="28" t="s">
        <v>279</v>
      </c>
      <c r="E184" s="20" t="s">
        <v>280</v>
      </c>
      <c r="F184" s="28" t="s">
        <v>427</v>
      </c>
      <c r="G184" s="20"/>
      <c r="H184" s="20" t="s">
        <v>40</v>
      </c>
      <c r="I184" s="20">
        <v>0</v>
      </c>
      <c r="J184" s="22">
        <v>710000000</v>
      </c>
      <c r="K184" s="20" t="s">
        <v>41</v>
      </c>
      <c r="L184" s="20" t="s">
        <v>670</v>
      </c>
      <c r="M184" s="20" t="s">
        <v>42</v>
      </c>
      <c r="N184" s="20" t="s">
        <v>43</v>
      </c>
      <c r="O184" s="23" t="s">
        <v>367</v>
      </c>
      <c r="P184" s="20" t="s">
        <v>302</v>
      </c>
      <c r="Q184" s="20">
        <v>796</v>
      </c>
      <c r="R184" s="20" t="s">
        <v>54</v>
      </c>
      <c r="S184" s="93">
        <v>31</v>
      </c>
      <c r="T184" s="24">
        <f>7800-(7800*12/112)</f>
        <v>6964.2857142857147</v>
      </c>
      <c r="U184" s="24">
        <f t="shared" si="87"/>
        <v>215892.85714285716</v>
      </c>
      <c r="V184" s="24">
        <f t="shared" si="88"/>
        <v>241800.00000000003</v>
      </c>
      <c r="W184" s="25"/>
      <c r="X184" s="25">
        <v>2018</v>
      </c>
      <c r="Y184" s="62"/>
      <c r="Z184" s="102"/>
      <c r="AA184" s="102"/>
      <c r="AB184" s="10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52.8">
      <c r="A185" s="3"/>
      <c r="B185" s="20" t="s">
        <v>526</v>
      </c>
      <c r="C185" s="20" t="s">
        <v>36</v>
      </c>
      <c r="D185" s="28" t="s">
        <v>429</v>
      </c>
      <c r="E185" s="20" t="s">
        <v>284</v>
      </c>
      <c r="F185" s="28" t="s">
        <v>430</v>
      </c>
      <c r="G185" s="20"/>
      <c r="H185" s="20" t="s">
        <v>40</v>
      </c>
      <c r="I185" s="20">
        <v>0</v>
      </c>
      <c r="J185" s="22">
        <v>710000000</v>
      </c>
      <c r="K185" s="20" t="s">
        <v>41</v>
      </c>
      <c r="L185" s="20" t="s">
        <v>386</v>
      </c>
      <c r="M185" s="20" t="s">
        <v>42</v>
      </c>
      <c r="N185" s="20" t="s">
        <v>43</v>
      </c>
      <c r="O185" s="23" t="s">
        <v>367</v>
      </c>
      <c r="P185" s="20" t="s">
        <v>302</v>
      </c>
      <c r="Q185" s="20">
        <v>796</v>
      </c>
      <c r="R185" s="20" t="s">
        <v>54</v>
      </c>
      <c r="S185" s="93">
        <v>840</v>
      </c>
      <c r="T185" s="24">
        <f>300-(300*12/112)</f>
        <v>267.85714285714283</v>
      </c>
      <c r="U185" s="24">
        <f t="shared" si="87"/>
        <v>224999.99999999997</v>
      </c>
      <c r="V185" s="24">
        <f t="shared" si="88"/>
        <v>251999.99999999997</v>
      </c>
      <c r="W185" s="25"/>
      <c r="X185" s="25">
        <v>2018</v>
      </c>
      <c r="Y185" s="62"/>
      <c r="Z185" s="102"/>
      <c r="AA185" s="102"/>
      <c r="AB185" s="10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52.8">
      <c r="A186" s="3"/>
      <c r="B186" s="20" t="s">
        <v>530</v>
      </c>
      <c r="C186" s="20" t="s">
        <v>36</v>
      </c>
      <c r="D186" s="28" t="s">
        <v>287</v>
      </c>
      <c r="E186" s="20" t="s">
        <v>288</v>
      </c>
      <c r="F186" s="28" t="s">
        <v>432</v>
      </c>
      <c r="G186" s="20"/>
      <c r="H186" s="20" t="s">
        <v>40</v>
      </c>
      <c r="I186" s="20">
        <v>0</v>
      </c>
      <c r="J186" s="22">
        <v>710000000</v>
      </c>
      <c r="K186" s="20" t="s">
        <v>41</v>
      </c>
      <c r="L186" s="20" t="s">
        <v>386</v>
      </c>
      <c r="M186" s="20" t="s">
        <v>42</v>
      </c>
      <c r="N186" s="20" t="s">
        <v>43</v>
      </c>
      <c r="O186" s="23" t="s">
        <v>367</v>
      </c>
      <c r="P186" s="20" t="s">
        <v>302</v>
      </c>
      <c r="Q186" s="20">
        <v>796</v>
      </c>
      <c r="R186" s="20" t="s">
        <v>54</v>
      </c>
      <c r="S186" s="93">
        <v>10</v>
      </c>
      <c r="T186" s="24">
        <f>3800-(3800*12/112)</f>
        <v>3392.8571428571427</v>
      </c>
      <c r="U186" s="24">
        <f t="shared" si="87"/>
        <v>33928.571428571428</v>
      </c>
      <c r="V186" s="24">
        <f t="shared" si="88"/>
        <v>38000</v>
      </c>
      <c r="W186" s="25"/>
      <c r="X186" s="25">
        <v>2018</v>
      </c>
      <c r="Y186" s="62"/>
      <c r="Z186" s="102"/>
      <c r="AA186" s="102"/>
      <c r="AB186" s="10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52.8">
      <c r="A187" s="3"/>
      <c r="B187" s="20" t="s">
        <v>532</v>
      </c>
      <c r="C187" s="20" t="s">
        <v>36</v>
      </c>
      <c r="D187" s="28" t="s">
        <v>291</v>
      </c>
      <c r="E187" s="20" t="s">
        <v>434</v>
      </c>
      <c r="F187" s="28" t="s">
        <v>435</v>
      </c>
      <c r="G187" s="20"/>
      <c r="H187" s="20" t="s">
        <v>40</v>
      </c>
      <c r="I187" s="20">
        <v>0</v>
      </c>
      <c r="J187" s="22">
        <v>710000000</v>
      </c>
      <c r="K187" s="20" t="s">
        <v>41</v>
      </c>
      <c r="L187" s="20" t="s">
        <v>386</v>
      </c>
      <c r="M187" s="20" t="s">
        <v>42</v>
      </c>
      <c r="N187" s="20" t="s">
        <v>43</v>
      </c>
      <c r="O187" s="23" t="s">
        <v>367</v>
      </c>
      <c r="P187" s="20" t="s">
        <v>302</v>
      </c>
      <c r="Q187" s="20">
        <v>796</v>
      </c>
      <c r="R187" s="20" t="s">
        <v>54</v>
      </c>
      <c r="S187" s="93">
        <v>10</v>
      </c>
      <c r="T187" s="24">
        <f>2500-(2500*12/112)</f>
        <v>2232.1428571428573</v>
      </c>
      <c r="U187" s="24">
        <f t="shared" si="87"/>
        <v>22321.428571428572</v>
      </c>
      <c r="V187" s="24">
        <f t="shared" si="88"/>
        <v>25000</v>
      </c>
      <c r="W187" s="25"/>
      <c r="X187" s="25">
        <v>2018</v>
      </c>
      <c r="Y187" s="62"/>
      <c r="Z187" s="102"/>
      <c r="AA187" s="102"/>
      <c r="AB187" s="10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52.8">
      <c r="A188" s="3"/>
      <c r="B188" s="20" t="s">
        <v>534</v>
      </c>
      <c r="C188" s="20" t="s">
        <v>36</v>
      </c>
      <c r="D188" s="28" t="s">
        <v>437</v>
      </c>
      <c r="E188" s="20" t="s">
        <v>438</v>
      </c>
      <c r="F188" s="28" t="s">
        <v>439</v>
      </c>
      <c r="G188" s="28"/>
      <c r="H188" s="20" t="s">
        <v>40</v>
      </c>
      <c r="I188" s="20">
        <v>0</v>
      </c>
      <c r="J188" s="22">
        <v>710000000</v>
      </c>
      <c r="K188" s="20" t="s">
        <v>41</v>
      </c>
      <c r="L188" s="20" t="s">
        <v>386</v>
      </c>
      <c r="M188" s="20" t="s">
        <v>42</v>
      </c>
      <c r="N188" s="20" t="s">
        <v>43</v>
      </c>
      <c r="O188" s="23" t="s">
        <v>367</v>
      </c>
      <c r="P188" s="20" t="s">
        <v>302</v>
      </c>
      <c r="Q188" s="20">
        <v>796</v>
      </c>
      <c r="R188" s="20" t="s">
        <v>54</v>
      </c>
      <c r="S188" s="93">
        <v>3</v>
      </c>
      <c r="T188" s="24">
        <f>35000-(35000*12/112)</f>
        <v>31250</v>
      </c>
      <c r="U188" s="24">
        <f t="shared" si="87"/>
        <v>93750</v>
      </c>
      <c r="V188" s="24">
        <f>U188+(U188*12%)</f>
        <v>105000</v>
      </c>
      <c r="W188" s="25"/>
      <c r="X188" s="25">
        <v>2018</v>
      </c>
      <c r="Y188" s="62"/>
      <c r="Z188" s="102"/>
      <c r="AA188" s="102"/>
      <c r="AB188" s="10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66">
      <c r="A189" s="3"/>
      <c r="B189" s="20" t="s">
        <v>536</v>
      </c>
      <c r="C189" s="31" t="s">
        <v>36</v>
      </c>
      <c r="D189" s="28" t="s">
        <v>295</v>
      </c>
      <c r="E189" s="20" t="s">
        <v>296</v>
      </c>
      <c r="F189" s="28" t="s">
        <v>441</v>
      </c>
      <c r="G189" s="28"/>
      <c r="H189" s="20" t="s">
        <v>442</v>
      </c>
      <c r="I189" s="20">
        <v>0</v>
      </c>
      <c r="J189" s="22">
        <v>710000000</v>
      </c>
      <c r="K189" s="20" t="s">
        <v>41</v>
      </c>
      <c r="L189" s="20" t="s">
        <v>386</v>
      </c>
      <c r="M189" s="20" t="s">
        <v>42</v>
      </c>
      <c r="N189" s="20" t="s">
        <v>43</v>
      </c>
      <c r="O189" s="23" t="s">
        <v>443</v>
      </c>
      <c r="P189" s="20" t="s">
        <v>302</v>
      </c>
      <c r="Q189" s="20">
        <v>796</v>
      </c>
      <c r="R189" s="20" t="s">
        <v>54</v>
      </c>
      <c r="S189" s="93">
        <v>15</v>
      </c>
      <c r="T189" s="24">
        <f>405000-(405000*12/112)</f>
        <v>361607.14285714284</v>
      </c>
      <c r="U189" s="24">
        <f t="shared" si="87"/>
        <v>5424107.1428571427</v>
      </c>
      <c r="V189" s="24">
        <f t="shared" si="88"/>
        <v>6075000</v>
      </c>
      <c r="W189" s="25"/>
      <c r="X189" s="25">
        <v>2018</v>
      </c>
      <c r="Y189" s="62"/>
      <c r="Z189" s="102"/>
      <c r="AA189" s="102"/>
      <c r="AB189" s="10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66">
      <c r="A190" s="3"/>
      <c r="B190" s="20" t="s">
        <v>539</v>
      </c>
      <c r="C190" s="28" t="s">
        <v>36</v>
      </c>
      <c r="D190" s="28" t="s">
        <v>295</v>
      </c>
      <c r="E190" s="28" t="s">
        <v>296</v>
      </c>
      <c r="F190" s="28" t="s">
        <v>445</v>
      </c>
      <c r="G190" s="40"/>
      <c r="H190" s="28" t="s">
        <v>442</v>
      </c>
      <c r="I190" s="28">
        <v>0</v>
      </c>
      <c r="J190" s="22">
        <v>710000000</v>
      </c>
      <c r="K190" s="28" t="s">
        <v>41</v>
      </c>
      <c r="L190" s="28" t="s">
        <v>386</v>
      </c>
      <c r="M190" s="28" t="s">
        <v>42</v>
      </c>
      <c r="N190" s="28" t="s">
        <v>43</v>
      </c>
      <c r="O190" s="23" t="s">
        <v>443</v>
      </c>
      <c r="P190" s="20" t="s">
        <v>302</v>
      </c>
      <c r="Q190" s="28">
        <v>796</v>
      </c>
      <c r="R190" s="28" t="s">
        <v>54</v>
      </c>
      <c r="S190" s="94">
        <v>9</v>
      </c>
      <c r="T190" s="29">
        <f>358000-(358000*12/112)</f>
        <v>319642.85714285716</v>
      </c>
      <c r="U190" s="29">
        <f t="shared" si="87"/>
        <v>2876785.7142857146</v>
      </c>
      <c r="V190" s="29">
        <f t="shared" si="88"/>
        <v>3222000.0000000005</v>
      </c>
      <c r="W190" s="30"/>
      <c r="X190" s="30">
        <v>2018</v>
      </c>
      <c r="Y190" s="62"/>
      <c r="Z190" s="102"/>
      <c r="AA190" s="102"/>
      <c r="AB190" s="10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52.8">
      <c r="A191" s="3"/>
      <c r="B191" s="20" t="s">
        <v>543</v>
      </c>
      <c r="C191" s="20" t="s">
        <v>36</v>
      </c>
      <c r="D191" s="28" t="s">
        <v>447</v>
      </c>
      <c r="E191" s="20" t="s">
        <v>448</v>
      </c>
      <c r="F191" s="28" t="s">
        <v>449</v>
      </c>
      <c r="G191" s="20"/>
      <c r="H191" s="20" t="s">
        <v>40</v>
      </c>
      <c r="I191" s="20">
        <v>0</v>
      </c>
      <c r="J191" s="22">
        <v>710000000</v>
      </c>
      <c r="K191" s="20" t="s">
        <v>41</v>
      </c>
      <c r="L191" s="20" t="s">
        <v>300</v>
      </c>
      <c r="M191" s="20" t="s">
        <v>42</v>
      </c>
      <c r="N191" s="20" t="s">
        <v>43</v>
      </c>
      <c r="O191" s="23" t="s">
        <v>443</v>
      </c>
      <c r="P191" s="20" t="s">
        <v>302</v>
      </c>
      <c r="Q191" s="20">
        <v>796</v>
      </c>
      <c r="R191" s="20" t="s">
        <v>54</v>
      </c>
      <c r="S191" s="93">
        <v>9</v>
      </c>
      <c r="T191" s="24">
        <f>185000-(185000*12/112)</f>
        <v>165178.57142857142</v>
      </c>
      <c r="U191" s="24">
        <f t="shared" si="87"/>
        <v>1486607.1428571427</v>
      </c>
      <c r="V191" s="24">
        <f t="shared" si="88"/>
        <v>1664999.9999999998</v>
      </c>
      <c r="W191" s="25"/>
      <c r="X191" s="25">
        <v>2018</v>
      </c>
      <c r="Y191" s="62"/>
      <c r="Z191" s="102"/>
      <c r="AA191" s="102"/>
      <c r="AB191" s="10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52.8">
      <c r="A192" s="3"/>
      <c r="B192" s="20" t="s">
        <v>547</v>
      </c>
      <c r="C192" s="20" t="s">
        <v>36</v>
      </c>
      <c r="D192" s="28" t="s">
        <v>451</v>
      </c>
      <c r="E192" s="20" t="s">
        <v>452</v>
      </c>
      <c r="F192" s="28" t="s">
        <v>453</v>
      </c>
      <c r="G192" s="28"/>
      <c r="H192" s="20" t="s">
        <v>40</v>
      </c>
      <c r="I192" s="20">
        <v>0</v>
      </c>
      <c r="J192" s="22">
        <v>710000000</v>
      </c>
      <c r="K192" s="20" t="s">
        <v>41</v>
      </c>
      <c r="L192" s="20" t="s">
        <v>300</v>
      </c>
      <c r="M192" s="20" t="s">
        <v>42</v>
      </c>
      <c r="N192" s="20" t="s">
        <v>43</v>
      </c>
      <c r="O192" s="23" t="s">
        <v>443</v>
      </c>
      <c r="P192" s="20" t="s">
        <v>302</v>
      </c>
      <c r="Q192" s="20">
        <v>796</v>
      </c>
      <c r="R192" s="20" t="s">
        <v>54</v>
      </c>
      <c r="S192" s="93">
        <v>9</v>
      </c>
      <c r="T192" s="24">
        <f>62000-(62000*12/112)</f>
        <v>55357.142857142855</v>
      </c>
      <c r="U192" s="24">
        <f t="shared" si="87"/>
        <v>498214.28571428568</v>
      </c>
      <c r="V192" s="24">
        <f t="shared" si="88"/>
        <v>558000</v>
      </c>
      <c r="W192" s="25"/>
      <c r="X192" s="25">
        <v>2018</v>
      </c>
      <c r="Y192" s="62"/>
      <c r="Z192" s="102"/>
      <c r="AA192" s="102"/>
      <c r="AB192" s="10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52.8">
      <c r="A193" s="3"/>
      <c r="B193" s="20" t="s">
        <v>549</v>
      </c>
      <c r="C193" s="20" t="s">
        <v>36</v>
      </c>
      <c r="D193" s="28" t="s">
        <v>447</v>
      </c>
      <c r="E193" s="20" t="s">
        <v>448</v>
      </c>
      <c r="F193" s="28" t="s">
        <v>455</v>
      </c>
      <c r="G193" s="28"/>
      <c r="H193" s="20" t="s">
        <v>40</v>
      </c>
      <c r="I193" s="20">
        <v>0</v>
      </c>
      <c r="J193" s="22">
        <v>710000000</v>
      </c>
      <c r="K193" s="20" t="s">
        <v>41</v>
      </c>
      <c r="L193" s="20" t="s">
        <v>300</v>
      </c>
      <c r="M193" s="20" t="s">
        <v>42</v>
      </c>
      <c r="N193" s="20" t="s">
        <v>43</v>
      </c>
      <c r="O193" s="23" t="s">
        <v>443</v>
      </c>
      <c r="P193" s="20" t="s">
        <v>302</v>
      </c>
      <c r="Q193" s="20">
        <v>796</v>
      </c>
      <c r="R193" s="20" t="s">
        <v>54</v>
      </c>
      <c r="S193" s="93">
        <v>2</v>
      </c>
      <c r="T193" s="24">
        <f>220000-(220000*12/112)</f>
        <v>196428.57142857142</v>
      </c>
      <c r="U193" s="24">
        <f t="shared" si="87"/>
        <v>392857.14285714284</v>
      </c>
      <c r="V193" s="24">
        <f t="shared" si="88"/>
        <v>440000</v>
      </c>
      <c r="W193" s="25"/>
      <c r="X193" s="25">
        <v>2018</v>
      </c>
      <c r="Y193" s="62"/>
      <c r="Z193" s="102"/>
      <c r="AA193" s="102"/>
      <c r="AB193" s="10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66">
      <c r="A194" s="3"/>
      <c r="B194" s="20" t="s">
        <v>552</v>
      </c>
      <c r="C194" s="20" t="s">
        <v>36</v>
      </c>
      <c r="D194" s="28" t="s">
        <v>457</v>
      </c>
      <c r="E194" s="20" t="s">
        <v>458</v>
      </c>
      <c r="F194" s="28" t="s">
        <v>459</v>
      </c>
      <c r="G194" s="28"/>
      <c r="H194" s="20" t="s">
        <v>442</v>
      </c>
      <c r="I194" s="20">
        <v>0</v>
      </c>
      <c r="J194" s="22">
        <v>710000000</v>
      </c>
      <c r="K194" s="20" t="s">
        <v>41</v>
      </c>
      <c r="L194" s="20" t="s">
        <v>386</v>
      </c>
      <c r="M194" s="20" t="s">
        <v>42</v>
      </c>
      <c r="N194" s="20" t="s">
        <v>43</v>
      </c>
      <c r="O194" s="23" t="s">
        <v>443</v>
      </c>
      <c r="P194" s="20" t="s">
        <v>302</v>
      </c>
      <c r="Q194" s="20">
        <v>796</v>
      </c>
      <c r="R194" s="20" t="s">
        <v>54</v>
      </c>
      <c r="S194" s="93">
        <v>3</v>
      </c>
      <c r="T194" s="24">
        <f>400000-(400000*12/112)</f>
        <v>357142.85714285716</v>
      </c>
      <c r="U194" s="24">
        <f t="shared" si="87"/>
        <v>1071428.5714285714</v>
      </c>
      <c r="V194" s="24">
        <f t="shared" si="88"/>
        <v>1200000</v>
      </c>
      <c r="W194" s="25"/>
      <c r="X194" s="25">
        <v>2018</v>
      </c>
      <c r="Y194" s="62"/>
      <c r="Z194" s="102"/>
      <c r="AA194" s="102"/>
      <c r="AB194" s="10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52.8">
      <c r="A195" s="3"/>
      <c r="B195" s="20" t="s">
        <v>555</v>
      </c>
      <c r="C195" s="20" t="s">
        <v>36</v>
      </c>
      <c r="D195" s="28" t="s">
        <v>461</v>
      </c>
      <c r="E195" s="20" t="s">
        <v>462</v>
      </c>
      <c r="F195" s="28" t="s">
        <v>463</v>
      </c>
      <c r="G195" s="28"/>
      <c r="H195" s="20" t="s">
        <v>40</v>
      </c>
      <c r="I195" s="20">
        <v>0</v>
      </c>
      <c r="J195" s="22">
        <v>710000000</v>
      </c>
      <c r="K195" s="20" t="s">
        <v>41</v>
      </c>
      <c r="L195" s="20" t="s">
        <v>300</v>
      </c>
      <c r="M195" s="20" t="s">
        <v>42</v>
      </c>
      <c r="N195" s="20" t="s">
        <v>43</v>
      </c>
      <c r="O195" s="23" t="s">
        <v>443</v>
      </c>
      <c r="P195" s="20" t="s">
        <v>302</v>
      </c>
      <c r="Q195" s="20">
        <v>796</v>
      </c>
      <c r="R195" s="20" t="s">
        <v>54</v>
      </c>
      <c r="S195" s="93">
        <v>3</v>
      </c>
      <c r="T195" s="24">
        <f>8000-(8000*12/112)</f>
        <v>7142.8571428571431</v>
      </c>
      <c r="U195" s="24">
        <f t="shared" si="87"/>
        <v>21428.571428571428</v>
      </c>
      <c r="V195" s="24">
        <f>U195+(U195*12%)</f>
        <v>24000</v>
      </c>
      <c r="W195" s="25"/>
      <c r="X195" s="25">
        <v>2018</v>
      </c>
      <c r="Y195" s="62"/>
      <c r="Z195" s="102"/>
      <c r="AA195" s="102"/>
      <c r="AB195" s="10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52.8">
      <c r="A196" s="3"/>
      <c r="B196" s="20" t="s">
        <v>558</v>
      </c>
      <c r="C196" s="20" t="s">
        <v>36</v>
      </c>
      <c r="D196" s="28" t="s">
        <v>465</v>
      </c>
      <c r="E196" s="20" t="s">
        <v>466</v>
      </c>
      <c r="F196" s="28" t="s">
        <v>467</v>
      </c>
      <c r="G196" s="28"/>
      <c r="H196" s="20" t="s">
        <v>40</v>
      </c>
      <c r="I196" s="20">
        <v>0</v>
      </c>
      <c r="J196" s="22">
        <v>710000000</v>
      </c>
      <c r="K196" s="20" t="s">
        <v>41</v>
      </c>
      <c r="L196" s="20" t="s">
        <v>300</v>
      </c>
      <c r="M196" s="20" t="s">
        <v>42</v>
      </c>
      <c r="N196" s="20" t="s">
        <v>43</v>
      </c>
      <c r="O196" s="23" t="s">
        <v>443</v>
      </c>
      <c r="P196" s="20" t="s">
        <v>302</v>
      </c>
      <c r="Q196" s="20">
        <v>796</v>
      </c>
      <c r="R196" s="20" t="s">
        <v>54</v>
      </c>
      <c r="S196" s="93">
        <v>3</v>
      </c>
      <c r="T196" s="24">
        <f>24500-(24500*12/112)</f>
        <v>21875</v>
      </c>
      <c r="U196" s="24">
        <f t="shared" si="87"/>
        <v>65625</v>
      </c>
      <c r="V196" s="24">
        <f>U196+(U196*12%)</f>
        <v>73500</v>
      </c>
      <c r="W196" s="25"/>
      <c r="X196" s="25">
        <v>2018</v>
      </c>
      <c r="Y196" s="62"/>
      <c r="Z196" s="102"/>
      <c r="AA196" s="102"/>
      <c r="AB196" s="10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52.8">
      <c r="A197" s="3"/>
      <c r="B197" s="20" t="s">
        <v>561</v>
      </c>
      <c r="C197" s="20" t="s">
        <v>36</v>
      </c>
      <c r="D197" s="28" t="s">
        <v>469</v>
      </c>
      <c r="E197" s="20" t="s">
        <v>831</v>
      </c>
      <c r="F197" s="28" t="s">
        <v>471</v>
      </c>
      <c r="G197" s="28"/>
      <c r="H197" s="20" t="s">
        <v>40</v>
      </c>
      <c r="I197" s="20">
        <v>0</v>
      </c>
      <c r="J197" s="22">
        <v>710000000</v>
      </c>
      <c r="K197" s="20" t="s">
        <v>41</v>
      </c>
      <c r="L197" s="20" t="s">
        <v>300</v>
      </c>
      <c r="M197" s="20" t="s">
        <v>42</v>
      </c>
      <c r="N197" s="20" t="s">
        <v>43</v>
      </c>
      <c r="O197" s="23" t="s">
        <v>443</v>
      </c>
      <c r="P197" s="20" t="s">
        <v>302</v>
      </c>
      <c r="Q197" s="20">
        <v>796</v>
      </c>
      <c r="R197" s="20" t="s">
        <v>54</v>
      </c>
      <c r="S197" s="93">
        <v>31</v>
      </c>
      <c r="T197" s="24">
        <f>57500-(57500*12/112)</f>
        <v>51339.285714285717</v>
      </c>
      <c r="U197" s="24">
        <f t="shared" si="87"/>
        <v>1591517.8571428573</v>
      </c>
      <c r="V197" s="24">
        <f t="shared" si="88"/>
        <v>1782500.0000000002</v>
      </c>
      <c r="W197" s="25"/>
      <c r="X197" s="25">
        <v>2018</v>
      </c>
      <c r="Y197" s="62"/>
      <c r="Z197" s="102"/>
      <c r="AA197" s="102"/>
      <c r="AB197" s="10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52.8">
      <c r="A198" s="3"/>
      <c r="B198" s="20" t="s">
        <v>565</v>
      </c>
      <c r="C198" s="20" t="s">
        <v>36</v>
      </c>
      <c r="D198" s="28" t="s">
        <v>447</v>
      </c>
      <c r="E198" s="20" t="s">
        <v>448</v>
      </c>
      <c r="F198" s="28" t="s">
        <v>473</v>
      </c>
      <c r="G198" s="28"/>
      <c r="H198" s="20" t="s">
        <v>40</v>
      </c>
      <c r="I198" s="20">
        <v>0</v>
      </c>
      <c r="J198" s="22">
        <v>710000000</v>
      </c>
      <c r="K198" s="20" t="s">
        <v>41</v>
      </c>
      <c r="L198" s="20" t="s">
        <v>300</v>
      </c>
      <c r="M198" s="20" t="s">
        <v>42</v>
      </c>
      <c r="N198" s="20" t="s">
        <v>43</v>
      </c>
      <c r="O198" s="23" t="s">
        <v>443</v>
      </c>
      <c r="P198" s="20" t="s">
        <v>302</v>
      </c>
      <c r="Q198" s="20">
        <v>796</v>
      </c>
      <c r="R198" s="20" t="s">
        <v>54</v>
      </c>
      <c r="S198" s="93">
        <v>1</v>
      </c>
      <c r="T198" s="24">
        <f>1750000-(1750000*12/112)</f>
        <v>1562500</v>
      </c>
      <c r="U198" s="24">
        <f t="shared" si="87"/>
        <v>1562500</v>
      </c>
      <c r="V198" s="24">
        <f t="shared" si="88"/>
        <v>1750000</v>
      </c>
      <c r="W198" s="25"/>
      <c r="X198" s="25">
        <v>2018</v>
      </c>
      <c r="Y198" s="62"/>
      <c r="Z198" s="102"/>
      <c r="AA198" s="102"/>
      <c r="AB198" s="10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52.8">
      <c r="A199" s="3"/>
      <c r="B199" s="20" t="s">
        <v>567</v>
      </c>
      <c r="C199" s="28" t="s">
        <v>36</v>
      </c>
      <c r="D199" s="28" t="s">
        <v>475</v>
      </c>
      <c r="E199" s="28" t="s">
        <v>476</v>
      </c>
      <c r="F199" s="40" t="s">
        <v>477</v>
      </c>
      <c r="G199" s="28"/>
      <c r="H199" s="28" t="s">
        <v>442</v>
      </c>
      <c r="I199" s="28">
        <v>0</v>
      </c>
      <c r="J199" s="22">
        <v>710000000</v>
      </c>
      <c r="K199" s="28" t="s">
        <v>41</v>
      </c>
      <c r="L199" s="28" t="s">
        <v>386</v>
      </c>
      <c r="M199" s="28" t="s">
        <v>42</v>
      </c>
      <c r="N199" s="28" t="s">
        <v>43</v>
      </c>
      <c r="O199" s="23" t="s">
        <v>443</v>
      </c>
      <c r="P199" s="20" t="s">
        <v>302</v>
      </c>
      <c r="Q199" s="28">
        <v>796</v>
      </c>
      <c r="R199" s="28" t="s">
        <v>54</v>
      </c>
      <c r="S199" s="94">
        <v>1</v>
      </c>
      <c r="T199" s="29">
        <f>7963800-(7963800*12/112)</f>
        <v>7110535.7142857146</v>
      </c>
      <c r="U199" s="29">
        <f t="shared" si="87"/>
        <v>7110535.7142857146</v>
      </c>
      <c r="V199" s="29">
        <f t="shared" si="88"/>
        <v>7963800</v>
      </c>
      <c r="W199" s="30"/>
      <c r="X199" s="30">
        <v>2018</v>
      </c>
      <c r="Y199" s="62"/>
      <c r="Z199" s="102"/>
      <c r="AA199" s="102"/>
      <c r="AB199" s="10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52.8">
      <c r="A200" s="3"/>
      <c r="B200" s="20" t="s">
        <v>571</v>
      </c>
      <c r="C200" s="40" t="s">
        <v>36</v>
      </c>
      <c r="D200" s="40" t="s">
        <v>479</v>
      </c>
      <c r="E200" s="40" t="s">
        <v>480</v>
      </c>
      <c r="F200" s="40" t="s">
        <v>481</v>
      </c>
      <c r="G200" s="40"/>
      <c r="H200" s="20" t="s">
        <v>40</v>
      </c>
      <c r="I200" s="40">
        <v>0</v>
      </c>
      <c r="J200" s="41">
        <v>710000000</v>
      </c>
      <c r="K200" s="40" t="s">
        <v>41</v>
      </c>
      <c r="L200" s="40" t="s">
        <v>386</v>
      </c>
      <c r="M200" s="40" t="s">
        <v>42</v>
      </c>
      <c r="N200" s="40" t="s">
        <v>43</v>
      </c>
      <c r="O200" s="42" t="s">
        <v>443</v>
      </c>
      <c r="P200" s="20" t="s">
        <v>302</v>
      </c>
      <c r="Q200" s="40">
        <v>796</v>
      </c>
      <c r="R200" s="40" t="s">
        <v>54</v>
      </c>
      <c r="S200" s="96">
        <v>1</v>
      </c>
      <c r="T200" s="43">
        <f>950000-(950000*12/112)</f>
        <v>848214.28571428568</v>
      </c>
      <c r="U200" s="43">
        <f t="shared" si="87"/>
        <v>848214.28571428568</v>
      </c>
      <c r="V200" s="43">
        <f>U200+(U200*12%)</f>
        <v>950000</v>
      </c>
      <c r="W200" s="44"/>
      <c r="X200" s="44">
        <v>2018</v>
      </c>
      <c r="Y200" s="62"/>
      <c r="Z200" s="102"/>
      <c r="AA200" s="102"/>
      <c r="AB200" s="10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52.8">
      <c r="A201" s="3"/>
      <c r="B201" s="20" t="s">
        <v>575</v>
      </c>
      <c r="C201" s="20" t="s">
        <v>36</v>
      </c>
      <c r="D201" s="28" t="s">
        <v>465</v>
      </c>
      <c r="E201" s="20" t="s">
        <v>466</v>
      </c>
      <c r="F201" s="28" t="s">
        <v>483</v>
      </c>
      <c r="G201" s="20"/>
      <c r="H201" s="20" t="s">
        <v>40</v>
      </c>
      <c r="I201" s="20">
        <v>0</v>
      </c>
      <c r="J201" s="22">
        <v>710000000</v>
      </c>
      <c r="K201" s="20" t="s">
        <v>41</v>
      </c>
      <c r="L201" s="20" t="s">
        <v>300</v>
      </c>
      <c r="M201" s="20" t="s">
        <v>42</v>
      </c>
      <c r="N201" s="20" t="s">
        <v>43</v>
      </c>
      <c r="O201" s="23" t="s">
        <v>443</v>
      </c>
      <c r="P201" s="20" t="s">
        <v>302</v>
      </c>
      <c r="Q201" s="20">
        <v>796</v>
      </c>
      <c r="R201" s="20" t="s">
        <v>54</v>
      </c>
      <c r="S201" s="93">
        <v>1</v>
      </c>
      <c r="T201" s="24">
        <f>32000-(32000*12/112)</f>
        <v>28571.428571428572</v>
      </c>
      <c r="U201" s="24">
        <f t="shared" si="87"/>
        <v>28571.428571428572</v>
      </c>
      <c r="V201" s="24">
        <f t="shared" ref="V201:V229" si="89">U201+(U201*12%)</f>
        <v>32000</v>
      </c>
      <c r="W201" s="25"/>
      <c r="X201" s="25">
        <v>2018</v>
      </c>
      <c r="Y201" s="62"/>
      <c r="Z201" s="102"/>
      <c r="AA201" s="102"/>
      <c r="AB201" s="10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52.8">
      <c r="A202" s="3"/>
      <c r="B202" s="20" t="s">
        <v>577</v>
      </c>
      <c r="C202" s="20" t="s">
        <v>36</v>
      </c>
      <c r="D202" s="20" t="s">
        <v>485</v>
      </c>
      <c r="E202" s="20" t="s">
        <v>486</v>
      </c>
      <c r="F202" s="45" t="s">
        <v>487</v>
      </c>
      <c r="G202" s="20"/>
      <c r="H202" s="20" t="s">
        <v>40</v>
      </c>
      <c r="I202" s="20">
        <v>0</v>
      </c>
      <c r="J202" s="22">
        <v>710000000</v>
      </c>
      <c r="K202" s="20" t="s">
        <v>41</v>
      </c>
      <c r="L202" s="20" t="s">
        <v>300</v>
      </c>
      <c r="M202" s="20" t="s">
        <v>42</v>
      </c>
      <c r="N202" s="20" t="s">
        <v>43</v>
      </c>
      <c r="O202" s="23" t="s">
        <v>443</v>
      </c>
      <c r="P202" s="20" t="s">
        <v>302</v>
      </c>
      <c r="Q202" s="20">
        <v>796</v>
      </c>
      <c r="R202" s="20" t="s">
        <v>54</v>
      </c>
      <c r="S202" s="93">
        <v>3</v>
      </c>
      <c r="T202" s="24">
        <f>14000-(14000*12/112)</f>
        <v>12500</v>
      </c>
      <c r="U202" s="24">
        <f t="shared" si="87"/>
        <v>37500</v>
      </c>
      <c r="V202" s="24">
        <f t="shared" si="89"/>
        <v>42000</v>
      </c>
      <c r="W202" s="25"/>
      <c r="X202" s="25">
        <v>2018</v>
      </c>
      <c r="Y202" s="62"/>
      <c r="Z202" s="102"/>
      <c r="AA202" s="102"/>
      <c r="AB202" s="10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52.8">
      <c r="A203" s="3"/>
      <c r="B203" s="20" t="s">
        <v>581</v>
      </c>
      <c r="C203" s="28" t="s">
        <v>36</v>
      </c>
      <c r="D203" s="28" t="s">
        <v>489</v>
      </c>
      <c r="E203" s="28" t="s">
        <v>470</v>
      </c>
      <c r="F203" s="40" t="s">
        <v>490</v>
      </c>
      <c r="G203" s="40"/>
      <c r="H203" s="20" t="s">
        <v>40</v>
      </c>
      <c r="I203" s="28">
        <v>0</v>
      </c>
      <c r="J203" s="22">
        <v>710000000</v>
      </c>
      <c r="K203" s="28" t="s">
        <v>41</v>
      </c>
      <c r="L203" s="20" t="s">
        <v>300</v>
      </c>
      <c r="M203" s="28" t="s">
        <v>42</v>
      </c>
      <c r="N203" s="28" t="s">
        <v>43</v>
      </c>
      <c r="O203" s="23" t="s">
        <v>443</v>
      </c>
      <c r="P203" s="20" t="s">
        <v>302</v>
      </c>
      <c r="Q203" s="28">
        <v>796</v>
      </c>
      <c r="R203" s="28" t="s">
        <v>54</v>
      </c>
      <c r="S203" s="94">
        <v>31</v>
      </c>
      <c r="T203" s="24">
        <f>33028-(33028*12/112)</f>
        <v>29489.285714285714</v>
      </c>
      <c r="U203" s="29">
        <f t="shared" si="87"/>
        <v>914167.85714285716</v>
      </c>
      <c r="V203" s="29">
        <f t="shared" si="89"/>
        <v>1023868</v>
      </c>
      <c r="W203" s="30"/>
      <c r="X203" s="30">
        <v>2018</v>
      </c>
      <c r="Y203" s="62"/>
      <c r="Z203" s="102"/>
      <c r="AA203" s="102"/>
      <c r="AB203" s="10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52.8">
      <c r="A204" s="3"/>
      <c r="B204" s="20" t="s">
        <v>585</v>
      </c>
      <c r="C204" s="28" t="s">
        <v>36</v>
      </c>
      <c r="D204" s="28" t="s">
        <v>492</v>
      </c>
      <c r="E204" s="28" t="s">
        <v>470</v>
      </c>
      <c r="F204" s="40" t="s">
        <v>490</v>
      </c>
      <c r="G204" s="40"/>
      <c r="H204" s="20" t="s">
        <v>40</v>
      </c>
      <c r="I204" s="28">
        <v>0</v>
      </c>
      <c r="J204" s="22">
        <v>710000000</v>
      </c>
      <c r="K204" s="28" t="s">
        <v>41</v>
      </c>
      <c r="L204" s="20" t="s">
        <v>300</v>
      </c>
      <c r="M204" s="28" t="s">
        <v>42</v>
      </c>
      <c r="N204" s="28" t="s">
        <v>43</v>
      </c>
      <c r="O204" s="23" t="s">
        <v>443</v>
      </c>
      <c r="P204" s="20" t="s">
        <v>302</v>
      </c>
      <c r="Q204" s="28">
        <v>796</v>
      </c>
      <c r="R204" s="28" t="s">
        <v>54</v>
      </c>
      <c r="S204" s="94">
        <v>1</v>
      </c>
      <c r="T204" s="24">
        <f>516000-(516000*12/112)</f>
        <v>460714.28571428574</v>
      </c>
      <c r="U204" s="29">
        <f t="shared" si="87"/>
        <v>460714.28571428574</v>
      </c>
      <c r="V204" s="29">
        <f t="shared" si="89"/>
        <v>516000</v>
      </c>
      <c r="W204" s="30"/>
      <c r="X204" s="30">
        <v>2018</v>
      </c>
      <c r="Y204" s="62"/>
      <c r="Z204" s="102"/>
      <c r="AA204" s="102"/>
      <c r="AB204" s="10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52.8">
      <c r="A205" s="3"/>
      <c r="B205" s="20" t="s">
        <v>589</v>
      </c>
      <c r="C205" s="20" t="s">
        <v>36</v>
      </c>
      <c r="D205" s="28" t="s">
        <v>494</v>
      </c>
      <c r="E205" s="20" t="s">
        <v>495</v>
      </c>
      <c r="F205" s="28" t="s">
        <v>496</v>
      </c>
      <c r="G205" s="20"/>
      <c r="H205" s="20" t="s">
        <v>40</v>
      </c>
      <c r="I205" s="20">
        <v>0</v>
      </c>
      <c r="J205" s="22">
        <v>710000000</v>
      </c>
      <c r="K205" s="20" t="s">
        <v>41</v>
      </c>
      <c r="L205" s="20" t="s">
        <v>300</v>
      </c>
      <c r="M205" s="20" t="s">
        <v>42</v>
      </c>
      <c r="N205" s="20" t="s">
        <v>43</v>
      </c>
      <c r="O205" s="23" t="s">
        <v>824</v>
      </c>
      <c r="P205" s="20" t="s">
        <v>302</v>
      </c>
      <c r="Q205" s="20">
        <v>796</v>
      </c>
      <c r="R205" s="20" t="s">
        <v>54</v>
      </c>
      <c r="S205" s="93">
        <v>10</v>
      </c>
      <c r="T205" s="24">
        <f>79000-(79000*12/112)</f>
        <v>70535.71428571429</v>
      </c>
      <c r="U205" s="24">
        <f t="shared" si="87"/>
        <v>705357.14285714296</v>
      </c>
      <c r="V205" s="24">
        <f t="shared" si="89"/>
        <v>790000.00000000012</v>
      </c>
      <c r="W205" s="25"/>
      <c r="X205" s="25">
        <v>2018</v>
      </c>
      <c r="Y205" s="62"/>
      <c r="Z205" s="102"/>
      <c r="AA205" s="102"/>
      <c r="AB205" s="10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52.8">
      <c r="A206" s="3"/>
      <c r="B206" s="20" t="s">
        <v>594</v>
      </c>
      <c r="C206" s="20" t="s">
        <v>36</v>
      </c>
      <c r="D206" s="28" t="s">
        <v>498</v>
      </c>
      <c r="E206" s="20" t="s">
        <v>499</v>
      </c>
      <c r="F206" s="28" t="s">
        <v>500</v>
      </c>
      <c r="G206" s="20"/>
      <c r="H206" s="20" t="s">
        <v>40</v>
      </c>
      <c r="I206" s="20">
        <v>0</v>
      </c>
      <c r="J206" s="22">
        <v>710000000</v>
      </c>
      <c r="K206" s="20" t="s">
        <v>41</v>
      </c>
      <c r="L206" s="20" t="s">
        <v>300</v>
      </c>
      <c r="M206" s="20" t="s">
        <v>42</v>
      </c>
      <c r="N206" s="20" t="s">
        <v>43</v>
      </c>
      <c r="O206" s="23" t="s">
        <v>443</v>
      </c>
      <c r="P206" s="20" t="s">
        <v>302</v>
      </c>
      <c r="Q206" s="20">
        <v>796</v>
      </c>
      <c r="R206" s="20" t="s">
        <v>54</v>
      </c>
      <c r="S206" s="93">
        <v>1</v>
      </c>
      <c r="T206" s="24">
        <f>390000-(390000*12/112)</f>
        <v>348214.28571428574</v>
      </c>
      <c r="U206" s="24">
        <f t="shared" si="87"/>
        <v>348214.28571428574</v>
      </c>
      <c r="V206" s="24">
        <f t="shared" si="89"/>
        <v>390000</v>
      </c>
      <c r="W206" s="25"/>
      <c r="X206" s="25">
        <v>2018</v>
      </c>
      <c r="Y206" s="62"/>
      <c r="Z206" s="102"/>
      <c r="AA206" s="102"/>
      <c r="AB206" s="10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52.8">
      <c r="A207" s="3"/>
      <c r="B207" s="20" t="s">
        <v>598</v>
      </c>
      <c r="C207" s="20" t="s">
        <v>36</v>
      </c>
      <c r="D207" s="28" t="s">
        <v>502</v>
      </c>
      <c r="E207" s="20" t="s">
        <v>503</v>
      </c>
      <c r="F207" s="20" t="s">
        <v>504</v>
      </c>
      <c r="G207" s="20"/>
      <c r="H207" s="20" t="s">
        <v>40</v>
      </c>
      <c r="I207" s="20">
        <v>0</v>
      </c>
      <c r="J207" s="22">
        <v>710000000</v>
      </c>
      <c r="K207" s="20" t="s">
        <v>41</v>
      </c>
      <c r="L207" s="20" t="s">
        <v>300</v>
      </c>
      <c r="M207" s="20" t="s">
        <v>42</v>
      </c>
      <c r="N207" s="20" t="s">
        <v>43</v>
      </c>
      <c r="O207" s="23" t="s">
        <v>443</v>
      </c>
      <c r="P207" s="20" t="s">
        <v>302</v>
      </c>
      <c r="Q207" s="20">
        <v>796</v>
      </c>
      <c r="R207" s="20" t="s">
        <v>54</v>
      </c>
      <c r="S207" s="93">
        <v>15</v>
      </c>
      <c r="T207" s="24">
        <f>35000-(35000*12/112)</f>
        <v>31250</v>
      </c>
      <c r="U207" s="24">
        <f t="shared" si="87"/>
        <v>468750</v>
      </c>
      <c r="V207" s="24">
        <f t="shared" si="89"/>
        <v>525000</v>
      </c>
      <c r="W207" s="25"/>
      <c r="X207" s="25">
        <v>2018</v>
      </c>
      <c r="Y207" s="62"/>
      <c r="Z207" s="102"/>
      <c r="AA207" s="102"/>
      <c r="AB207" s="10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118.8">
      <c r="A208" s="3"/>
      <c r="B208" s="20" t="s">
        <v>600</v>
      </c>
      <c r="C208" s="28" t="s">
        <v>36</v>
      </c>
      <c r="D208" s="28" t="s">
        <v>506</v>
      </c>
      <c r="E208" s="28" t="s">
        <v>507</v>
      </c>
      <c r="F208" s="40" t="s">
        <v>805</v>
      </c>
      <c r="G208" s="40"/>
      <c r="H208" s="28" t="s">
        <v>442</v>
      </c>
      <c r="I208" s="28">
        <v>0</v>
      </c>
      <c r="J208" s="22">
        <v>710000000</v>
      </c>
      <c r="K208" s="28" t="s">
        <v>41</v>
      </c>
      <c r="L208" s="28" t="s">
        <v>386</v>
      </c>
      <c r="M208" s="28" t="s">
        <v>42</v>
      </c>
      <c r="N208" s="28" t="s">
        <v>43</v>
      </c>
      <c r="O208" s="23" t="s">
        <v>443</v>
      </c>
      <c r="P208" s="20" t="s">
        <v>825</v>
      </c>
      <c r="Q208" s="28">
        <v>839</v>
      </c>
      <c r="R208" s="28" t="s">
        <v>508</v>
      </c>
      <c r="S208" s="94">
        <v>1</v>
      </c>
      <c r="T208" s="24">
        <f>10000000-(10000000*12/112)</f>
        <v>8928571.4285714291</v>
      </c>
      <c r="U208" s="29">
        <f t="shared" si="87"/>
        <v>8928571.4285714291</v>
      </c>
      <c r="V208" s="29">
        <f t="shared" si="89"/>
        <v>10000000</v>
      </c>
      <c r="W208" s="30" t="s">
        <v>826</v>
      </c>
      <c r="X208" s="30">
        <v>2018</v>
      </c>
      <c r="Y208" s="62"/>
      <c r="Z208" s="102"/>
      <c r="AA208" s="102"/>
      <c r="AB208" s="10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79.2">
      <c r="A209" s="3"/>
      <c r="B209" s="20" t="s">
        <v>602</v>
      </c>
      <c r="C209" s="28" t="s">
        <v>36</v>
      </c>
      <c r="D209" s="28" t="s">
        <v>506</v>
      </c>
      <c r="E209" s="28" t="s">
        <v>507</v>
      </c>
      <c r="F209" s="40" t="s">
        <v>806</v>
      </c>
      <c r="G209" s="46"/>
      <c r="H209" s="28" t="s">
        <v>442</v>
      </c>
      <c r="I209" s="28">
        <v>0</v>
      </c>
      <c r="J209" s="22">
        <v>710000000</v>
      </c>
      <c r="K209" s="28" t="s">
        <v>41</v>
      </c>
      <c r="L209" s="28" t="s">
        <v>386</v>
      </c>
      <c r="M209" s="28" t="s">
        <v>42</v>
      </c>
      <c r="N209" s="28" t="s">
        <v>43</v>
      </c>
      <c r="O209" s="23" t="s">
        <v>443</v>
      </c>
      <c r="P209" s="20" t="s">
        <v>825</v>
      </c>
      <c r="Q209" s="28">
        <v>839</v>
      </c>
      <c r="R209" s="28" t="s">
        <v>508</v>
      </c>
      <c r="S209" s="94">
        <v>2</v>
      </c>
      <c r="T209" s="24">
        <f>2200000-(2200000*12/112)</f>
        <v>1964285.7142857143</v>
      </c>
      <c r="U209" s="29">
        <f t="shared" si="87"/>
        <v>3928571.4285714286</v>
      </c>
      <c r="V209" s="29">
        <f t="shared" si="89"/>
        <v>4400000</v>
      </c>
      <c r="W209" s="30" t="s">
        <v>826</v>
      </c>
      <c r="X209" s="30">
        <v>2018</v>
      </c>
      <c r="Y209" s="62"/>
      <c r="Z209" s="102"/>
      <c r="AA209" s="102"/>
      <c r="AB209" s="10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52.8">
      <c r="A210" s="3"/>
      <c r="B210" s="20" t="s">
        <v>766</v>
      </c>
      <c r="C210" s="28" t="s">
        <v>36</v>
      </c>
      <c r="D210" s="28" t="s">
        <v>506</v>
      </c>
      <c r="E210" s="28" t="s">
        <v>507</v>
      </c>
      <c r="F210" s="40" t="s">
        <v>807</v>
      </c>
      <c r="G210" s="40"/>
      <c r="H210" s="28" t="s">
        <v>442</v>
      </c>
      <c r="I210" s="28">
        <v>0</v>
      </c>
      <c r="J210" s="22">
        <v>710000000</v>
      </c>
      <c r="K210" s="28" t="s">
        <v>41</v>
      </c>
      <c r="L210" s="28" t="s">
        <v>386</v>
      </c>
      <c r="M210" s="28" t="s">
        <v>42</v>
      </c>
      <c r="N210" s="28" t="s">
        <v>43</v>
      </c>
      <c r="O210" s="23" t="s">
        <v>443</v>
      </c>
      <c r="P210" s="20" t="s">
        <v>825</v>
      </c>
      <c r="Q210" s="28">
        <v>839</v>
      </c>
      <c r="R210" s="28" t="s">
        <v>508</v>
      </c>
      <c r="S210" s="94">
        <v>1</v>
      </c>
      <c r="T210" s="24">
        <f>1100000-(1100000*12/112)</f>
        <v>982142.85714285716</v>
      </c>
      <c r="U210" s="29">
        <f t="shared" si="87"/>
        <v>982142.85714285716</v>
      </c>
      <c r="V210" s="29">
        <f t="shared" si="89"/>
        <v>1100000</v>
      </c>
      <c r="W210" s="30" t="s">
        <v>826</v>
      </c>
      <c r="X210" s="30">
        <v>2018</v>
      </c>
      <c r="Y210" s="62"/>
      <c r="Z210" s="102"/>
      <c r="AA210" s="102"/>
      <c r="AB210" s="10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79.2">
      <c r="A211" s="3"/>
      <c r="B211" s="20" t="s">
        <v>767</v>
      </c>
      <c r="C211" s="28" t="s">
        <v>36</v>
      </c>
      <c r="D211" s="28" t="s">
        <v>506</v>
      </c>
      <c r="E211" s="28" t="s">
        <v>507</v>
      </c>
      <c r="F211" s="40" t="s">
        <v>808</v>
      </c>
      <c r="G211" s="47" t="s">
        <v>512</v>
      </c>
      <c r="H211" s="28" t="s">
        <v>442</v>
      </c>
      <c r="I211" s="28">
        <v>0</v>
      </c>
      <c r="J211" s="22">
        <v>710000000</v>
      </c>
      <c r="K211" s="28" t="s">
        <v>41</v>
      </c>
      <c r="L211" s="28" t="s">
        <v>386</v>
      </c>
      <c r="M211" s="28" t="s">
        <v>42</v>
      </c>
      <c r="N211" s="28" t="s">
        <v>43</v>
      </c>
      <c r="O211" s="23" t="s">
        <v>443</v>
      </c>
      <c r="P211" s="20" t="s">
        <v>825</v>
      </c>
      <c r="Q211" s="28">
        <v>839</v>
      </c>
      <c r="R211" s="28" t="s">
        <v>508</v>
      </c>
      <c r="S211" s="94">
        <v>5</v>
      </c>
      <c r="T211" s="24">
        <f>950000-(950000*12/112)</f>
        <v>848214.28571428568</v>
      </c>
      <c r="U211" s="29">
        <f t="shared" si="87"/>
        <v>4241071.4285714282</v>
      </c>
      <c r="V211" s="29">
        <f t="shared" si="89"/>
        <v>4750000</v>
      </c>
      <c r="W211" s="30" t="s">
        <v>826</v>
      </c>
      <c r="X211" s="30">
        <v>2018</v>
      </c>
      <c r="Y211" s="62"/>
      <c r="Z211" s="102"/>
      <c r="AA211" s="102"/>
      <c r="AB211" s="10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52.8">
      <c r="A212" s="3"/>
      <c r="B212" s="20" t="s">
        <v>768</v>
      </c>
      <c r="C212" s="20" t="s">
        <v>36</v>
      </c>
      <c r="D212" s="28" t="s">
        <v>514</v>
      </c>
      <c r="E212" s="20" t="s">
        <v>515</v>
      </c>
      <c r="F212" s="20" t="s">
        <v>516</v>
      </c>
      <c r="G212" s="48"/>
      <c r="H212" s="20" t="s">
        <v>442</v>
      </c>
      <c r="I212" s="20">
        <v>0</v>
      </c>
      <c r="J212" s="22">
        <v>710000000</v>
      </c>
      <c r="K212" s="20" t="s">
        <v>41</v>
      </c>
      <c r="L212" s="20" t="s">
        <v>386</v>
      </c>
      <c r="M212" s="20" t="s">
        <v>42</v>
      </c>
      <c r="N212" s="20" t="s">
        <v>43</v>
      </c>
      <c r="O212" s="23" t="s">
        <v>443</v>
      </c>
      <c r="P212" s="20" t="s">
        <v>825</v>
      </c>
      <c r="Q212" s="20">
        <v>796</v>
      </c>
      <c r="R212" s="20" t="s">
        <v>54</v>
      </c>
      <c r="S212" s="93">
        <v>3</v>
      </c>
      <c r="T212" s="24">
        <f>253000-(253000*12/112)</f>
        <v>225892.85714285713</v>
      </c>
      <c r="U212" s="24">
        <f t="shared" si="87"/>
        <v>677678.57142857136</v>
      </c>
      <c r="V212" s="24">
        <f t="shared" si="89"/>
        <v>758999.99999999988</v>
      </c>
      <c r="W212" s="30" t="s">
        <v>826</v>
      </c>
      <c r="X212" s="25">
        <v>2018</v>
      </c>
      <c r="Y212" s="62"/>
      <c r="Z212" s="102"/>
      <c r="AA212" s="102"/>
      <c r="AB212" s="10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52.8">
      <c r="A213" s="3"/>
      <c r="B213" s="20" t="s">
        <v>769</v>
      </c>
      <c r="C213" s="20" t="s">
        <v>36</v>
      </c>
      <c r="D213" s="28" t="s">
        <v>518</v>
      </c>
      <c r="E213" s="20" t="s">
        <v>519</v>
      </c>
      <c r="F213" s="20" t="s">
        <v>520</v>
      </c>
      <c r="G213" s="48"/>
      <c r="H213" s="20" t="s">
        <v>442</v>
      </c>
      <c r="I213" s="20">
        <v>0</v>
      </c>
      <c r="J213" s="22">
        <v>710000000</v>
      </c>
      <c r="K213" s="20" t="s">
        <v>41</v>
      </c>
      <c r="L213" s="20" t="s">
        <v>386</v>
      </c>
      <c r="M213" s="20" t="s">
        <v>42</v>
      </c>
      <c r="N213" s="20" t="s">
        <v>43</v>
      </c>
      <c r="O213" s="23" t="s">
        <v>443</v>
      </c>
      <c r="P213" s="20" t="s">
        <v>825</v>
      </c>
      <c r="Q213" s="20">
        <v>796</v>
      </c>
      <c r="R213" s="20" t="s">
        <v>54</v>
      </c>
      <c r="S213" s="93">
        <v>1</v>
      </c>
      <c r="T213" s="24">
        <f>40000-(40000*12/112)</f>
        <v>35714.285714285717</v>
      </c>
      <c r="U213" s="24">
        <f t="shared" si="87"/>
        <v>35714.285714285717</v>
      </c>
      <c r="V213" s="24">
        <f t="shared" si="89"/>
        <v>40000</v>
      </c>
      <c r="W213" s="30" t="s">
        <v>826</v>
      </c>
      <c r="X213" s="25">
        <v>2018</v>
      </c>
      <c r="Y213" s="62"/>
      <c r="Z213" s="102"/>
      <c r="AA213" s="102"/>
      <c r="AB213" s="10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52.8">
      <c r="A214" s="3"/>
      <c r="B214" s="20" t="s">
        <v>770</v>
      </c>
      <c r="C214" s="20" t="s">
        <v>36</v>
      </c>
      <c r="D214" s="28" t="s">
        <v>522</v>
      </c>
      <c r="E214" s="20" t="s">
        <v>523</v>
      </c>
      <c r="F214" s="20" t="s">
        <v>524</v>
      </c>
      <c r="G214" s="20"/>
      <c r="H214" s="20" t="s">
        <v>40</v>
      </c>
      <c r="I214" s="20">
        <v>0</v>
      </c>
      <c r="J214" s="22">
        <v>710000000</v>
      </c>
      <c r="K214" s="20" t="s">
        <v>41</v>
      </c>
      <c r="L214" s="20" t="s">
        <v>386</v>
      </c>
      <c r="M214" s="20" t="s">
        <v>42</v>
      </c>
      <c r="N214" s="20" t="s">
        <v>43</v>
      </c>
      <c r="O214" s="23" t="s">
        <v>443</v>
      </c>
      <c r="P214" s="20" t="s">
        <v>302</v>
      </c>
      <c r="Q214" s="20">
        <v>796</v>
      </c>
      <c r="R214" s="20" t="s">
        <v>54</v>
      </c>
      <c r="S214" s="93">
        <v>3</v>
      </c>
      <c r="T214" s="24">
        <f>200000-(200000*12/112)</f>
        <v>178571.42857142858</v>
      </c>
      <c r="U214" s="24">
        <f t="shared" si="87"/>
        <v>535714.28571428568</v>
      </c>
      <c r="V214" s="24">
        <f t="shared" si="89"/>
        <v>600000</v>
      </c>
      <c r="W214" s="25"/>
      <c r="X214" s="25">
        <v>2018</v>
      </c>
      <c r="Y214" s="62"/>
      <c r="Z214" s="102"/>
      <c r="AA214" s="102"/>
      <c r="AB214" s="10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52.8">
      <c r="A215" s="3"/>
      <c r="B215" s="20" t="s">
        <v>771</v>
      </c>
      <c r="C215" s="20" t="s">
        <v>36</v>
      </c>
      <c r="D215" s="28" t="s">
        <v>522</v>
      </c>
      <c r="E215" s="20" t="s">
        <v>523</v>
      </c>
      <c r="F215" s="20" t="s">
        <v>524</v>
      </c>
      <c r="G215" s="20"/>
      <c r="H215" s="20" t="s">
        <v>40</v>
      </c>
      <c r="I215" s="20">
        <v>0</v>
      </c>
      <c r="J215" s="22">
        <v>710000000</v>
      </c>
      <c r="K215" s="20" t="s">
        <v>41</v>
      </c>
      <c r="L215" s="20" t="s">
        <v>386</v>
      </c>
      <c r="M215" s="20" t="s">
        <v>42</v>
      </c>
      <c r="N215" s="20" t="s">
        <v>43</v>
      </c>
      <c r="O215" s="23" t="s">
        <v>443</v>
      </c>
      <c r="P215" s="20" t="s">
        <v>302</v>
      </c>
      <c r="Q215" s="20">
        <v>796</v>
      </c>
      <c r="R215" s="20" t="s">
        <v>54</v>
      </c>
      <c r="S215" s="93">
        <v>1</v>
      </c>
      <c r="T215" s="24">
        <f>98000-(98000*12/112)</f>
        <v>87500</v>
      </c>
      <c r="U215" s="24">
        <f t="shared" si="87"/>
        <v>87500</v>
      </c>
      <c r="V215" s="24">
        <f t="shared" si="89"/>
        <v>98000</v>
      </c>
      <c r="W215" s="25"/>
      <c r="X215" s="25">
        <v>2018</v>
      </c>
      <c r="Y215" s="62"/>
      <c r="Z215" s="102"/>
      <c r="AA215" s="102"/>
      <c r="AB215" s="10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118.8">
      <c r="A216" s="3"/>
      <c r="B216" s="20" t="s">
        <v>772</v>
      </c>
      <c r="C216" s="28" t="s">
        <v>36</v>
      </c>
      <c r="D216" s="28" t="s">
        <v>527</v>
      </c>
      <c r="E216" s="28" t="s">
        <v>528</v>
      </c>
      <c r="F216" s="40" t="s">
        <v>529</v>
      </c>
      <c r="G216" s="40"/>
      <c r="H216" s="28" t="s">
        <v>442</v>
      </c>
      <c r="I216" s="28">
        <v>0</v>
      </c>
      <c r="J216" s="22">
        <v>710000000</v>
      </c>
      <c r="K216" s="28" t="s">
        <v>41</v>
      </c>
      <c r="L216" s="28" t="s">
        <v>386</v>
      </c>
      <c r="M216" s="28" t="s">
        <v>42</v>
      </c>
      <c r="N216" s="28" t="s">
        <v>43</v>
      </c>
      <c r="O216" s="23" t="s">
        <v>443</v>
      </c>
      <c r="P216" s="20" t="s">
        <v>825</v>
      </c>
      <c r="Q216" s="28">
        <v>796</v>
      </c>
      <c r="R216" s="28" t="s">
        <v>54</v>
      </c>
      <c r="S216" s="94">
        <v>22</v>
      </c>
      <c r="T216" s="24">
        <f>53500-(53500*12/112)</f>
        <v>47767.857142857145</v>
      </c>
      <c r="U216" s="29">
        <f t="shared" si="87"/>
        <v>1050892.8571428573</v>
      </c>
      <c r="V216" s="29">
        <f t="shared" si="89"/>
        <v>1177000.0000000002</v>
      </c>
      <c r="W216" s="30" t="s">
        <v>826</v>
      </c>
      <c r="X216" s="30">
        <v>2018</v>
      </c>
      <c r="Y216" s="62"/>
      <c r="Z216" s="102"/>
      <c r="AA216" s="102"/>
      <c r="AB216" s="10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105.6">
      <c r="A217" s="3"/>
      <c r="B217" s="20" t="s">
        <v>773</v>
      </c>
      <c r="C217" s="28" t="s">
        <v>36</v>
      </c>
      <c r="D217" s="28" t="s">
        <v>531</v>
      </c>
      <c r="E217" s="28" t="s">
        <v>528</v>
      </c>
      <c r="F217" s="40" t="s">
        <v>809</v>
      </c>
      <c r="G217" s="40"/>
      <c r="H217" s="28" t="s">
        <v>442</v>
      </c>
      <c r="I217" s="28">
        <v>0</v>
      </c>
      <c r="J217" s="22">
        <v>710000000</v>
      </c>
      <c r="K217" s="28" t="s">
        <v>41</v>
      </c>
      <c r="L217" s="28" t="s">
        <v>386</v>
      </c>
      <c r="M217" s="28" t="s">
        <v>42</v>
      </c>
      <c r="N217" s="28" t="s">
        <v>43</v>
      </c>
      <c r="O217" s="23" t="s">
        <v>443</v>
      </c>
      <c r="P217" s="20" t="s">
        <v>825</v>
      </c>
      <c r="Q217" s="28">
        <v>796</v>
      </c>
      <c r="R217" s="28" t="s">
        <v>54</v>
      </c>
      <c r="S217" s="94">
        <v>2</v>
      </c>
      <c r="T217" s="24">
        <f>120000-(120000*12/112)</f>
        <v>107142.85714285714</v>
      </c>
      <c r="U217" s="29">
        <f t="shared" si="87"/>
        <v>214285.71428571429</v>
      </c>
      <c r="V217" s="29">
        <f t="shared" si="89"/>
        <v>240000</v>
      </c>
      <c r="W217" s="30" t="s">
        <v>826</v>
      </c>
      <c r="X217" s="30">
        <v>2018</v>
      </c>
      <c r="Y217" s="62"/>
      <c r="Z217" s="102"/>
      <c r="AA217" s="102"/>
      <c r="AB217" s="10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66">
      <c r="A218" s="3"/>
      <c r="B218" s="20" t="s">
        <v>774</v>
      </c>
      <c r="C218" s="28" t="s">
        <v>36</v>
      </c>
      <c r="D218" s="28" t="s">
        <v>533</v>
      </c>
      <c r="E218" s="28" t="s">
        <v>528</v>
      </c>
      <c r="F218" s="40" t="s">
        <v>810</v>
      </c>
      <c r="G218" s="40"/>
      <c r="H218" s="28" t="s">
        <v>442</v>
      </c>
      <c r="I218" s="28">
        <v>0</v>
      </c>
      <c r="J218" s="22">
        <v>710000000</v>
      </c>
      <c r="K218" s="28" t="s">
        <v>41</v>
      </c>
      <c r="L218" s="28" t="s">
        <v>386</v>
      </c>
      <c r="M218" s="28" t="s">
        <v>42</v>
      </c>
      <c r="N218" s="28" t="s">
        <v>43</v>
      </c>
      <c r="O218" s="23" t="s">
        <v>443</v>
      </c>
      <c r="P218" s="20" t="s">
        <v>825</v>
      </c>
      <c r="Q218" s="28">
        <v>796</v>
      </c>
      <c r="R218" s="28" t="s">
        <v>54</v>
      </c>
      <c r="S218" s="94">
        <v>5</v>
      </c>
      <c r="T218" s="24">
        <f>100000-(100000*12/112)</f>
        <v>89285.71428571429</v>
      </c>
      <c r="U218" s="29">
        <f t="shared" si="87"/>
        <v>446428.57142857148</v>
      </c>
      <c r="V218" s="29">
        <f t="shared" si="89"/>
        <v>500000.00000000006</v>
      </c>
      <c r="W218" s="30" t="s">
        <v>826</v>
      </c>
      <c r="X218" s="30">
        <v>2018</v>
      </c>
      <c r="Y218" s="62"/>
      <c r="Z218" s="102"/>
      <c r="AA218" s="102"/>
      <c r="AB218" s="10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52.8">
      <c r="A219" s="3"/>
      <c r="B219" s="20" t="s">
        <v>775</v>
      </c>
      <c r="C219" s="28" t="s">
        <v>36</v>
      </c>
      <c r="D219" s="28" t="s">
        <v>535</v>
      </c>
      <c r="E219" s="28" t="s">
        <v>519</v>
      </c>
      <c r="F219" s="40" t="s">
        <v>811</v>
      </c>
      <c r="G219" s="40"/>
      <c r="H219" s="28" t="s">
        <v>442</v>
      </c>
      <c r="I219" s="28">
        <v>0</v>
      </c>
      <c r="J219" s="22">
        <v>710000000</v>
      </c>
      <c r="K219" s="28" t="s">
        <v>41</v>
      </c>
      <c r="L219" s="28" t="s">
        <v>386</v>
      </c>
      <c r="M219" s="28" t="s">
        <v>42</v>
      </c>
      <c r="N219" s="28" t="s">
        <v>43</v>
      </c>
      <c r="O219" s="23" t="s">
        <v>443</v>
      </c>
      <c r="P219" s="20" t="s">
        <v>825</v>
      </c>
      <c r="Q219" s="28">
        <v>796</v>
      </c>
      <c r="R219" s="28" t="s">
        <v>54</v>
      </c>
      <c r="S219" s="94">
        <v>22</v>
      </c>
      <c r="T219" s="24">
        <f>96000-(96000*12/112)</f>
        <v>85714.28571428571</v>
      </c>
      <c r="U219" s="29">
        <f t="shared" si="87"/>
        <v>1885714.2857142857</v>
      </c>
      <c r="V219" s="29">
        <f t="shared" si="89"/>
        <v>2112000</v>
      </c>
      <c r="W219" s="30" t="s">
        <v>826</v>
      </c>
      <c r="X219" s="30">
        <v>2018</v>
      </c>
      <c r="Y219" s="62"/>
      <c r="Z219" s="102"/>
      <c r="AA219" s="102"/>
      <c r="AB219" s="10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52.8">
      <c r="A220" s="3"/>
      <c r="B220" s="20" t="s">
        <v>776</v>
      </c>
      <c r="C220" s="28" t="s">
        <v>36</v>
      </c>
      <c r="D220" s="28" t="s">
        <v>537</v>
      </c>
      <c r="E220" s="28" t="s">
        <v>538</v>
      </c>
      <c r="F220" s="40" t="s">
        <v>812</v>
      </c>
      <c r="G220" s="49"/>
      <c r="H220" s="28" t="s">
        <v>442</v>
      </c>
      <c r="I220" s="28">
        <v>0</v>
      </c>
      <c r="J220" s="22">
        <v>710000000</v>
      </c>
      <c r="K220" s="28" t="s">
        <v>41</v>
      </c>
      <c r="L220" s="28" t="s">
        <v>386</v>
      </c>
      <c r="M220" s="28" t="s">
        <v>42</v>
      </c>
      <c r="N220" s="28" t="s">
        <v>43</v>
      </c>
      <c r="O220" s="23" t="s">
        <v>443</v>
      </c>
      <c r="P220" s="20" t="s">
        <v>825</v>
      </c>
      <c r="Q220" s="28">
        <v>796</v>
      </c>
      <c r="R220" s="28" t="s">
        <v>54</v>
      </c>
      <c r="S220" s="97">
        <v>22</v>
      </c>
      <c r="T220" s="24">
        <f>50000-(50000*12/112)</f>
        <v>44642.857142857145</v>
      </c>
      <c r="U220" s="29">
        <f t="shared" si="87"/>
        <v>982142.85714285716</v>
      </c>
      <c r="V220" s="29">
        <f t="shared" si="89"/>
        <v>1100000</v>
      </c>
      <c r="W220" s="30" t="s">
        <v>826</v>
      </c>
      <c r="X220" s="30">
        <v>2018</v>
      </c>
      <c r="Y220" s="62"/>
      <c r="Z220" s="102"/>
      <c r="AA220" s="102"/>
      <c r="AB220" s="10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52.8">
      <c r="A221" s="3"/>
      <c r="B221" s="20" t="s">
        <v>777</v>
      </c>
      <c r="C221" s="20" t="s">
        <v>36</v>
      </c>
      <c r="D221" s="28" t="s">
        <v>540</v>
      </c>
      <c r="E221" s="28" t="s">
        <v>541</v>
      </c>
      <c r="F221" s="40" t="s">
        <v>542</v>
      </c>
      <c r="G221" s="49"/>
      <c r="H221" s="20" t="s">
        <v>442</v>
      </c>
      <c r="I221" s="20">
        <v>0</v>
      </c>
      <c r="J221" s="22">
        <v>710000000</v>
      </c>
      <c r="K221" s="20" t="s">
        <v>41</v>
      </c>
      <c r="L221" s="20" t="s">
        <v>386</v>
      </c>
      <c r="M221" s="20" t="s">
        <v>42</v>
      </c>
      <c r="N221" s="20" t="s">
        <v>43</v>
      </c>
      <c r="O221" s="23" t="s">
        <v>443</v>
      </c>
      <c r="P221" s="20" t="s">
        <v>825</v>
      </c>
      <c r="Q221" s="20">
        <v>796</v>
      </c>
      <c r="R221" s="20" t="s">
        <v>54</v>
      </c>
      <c r="S221" s="98">
        <v>22</v>
      </c>
      <c r="T221" s="24">
        <f>125000-(125000*12/112)</f>
        <v>111607.14285714286</v>
      </c>
      <c r="U221" s="24">
        <f t="shared" si="87"/>
        <v>2455357.1428571427</v>
      </c>
      <c r="V221" s="24">
        <f t="shared" si="89"/>
        <v>2750000</v>
      </c>
      <c r="W221" s="30" t="s">
        <v>826</v>
      </c>
      <c r="X221" s="25">
        <v>2018</v>
      </c>
      <c r="Y221" s="62"/>
      <c r="Z221" s="102"/>
      <c r="AA221" s="102"/>
      <c r="AB221" s="10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52.8">
      <c r="A222" s="3"/>
      <c r="B222" s="20" t="s">
        <v>778</v>
      </c>
      <c r="C222" s="20" t="s">
        <v>36</v>
      </c>
      <c r="D222" s="28" t="s">
        <v>544</v>
      </c>
      <c r="E222" s="28" t="s">
        <v>545</v>
      </c>
      <c r="F222" s="40" t="s">
        <v>546</v>
      </c>
      <c r="G222" s="49"/>
      <c r="H222" s="20" t="s">
        <v>442</v>
      </c>
      <c r="I222" s="20">
        <v>0</v>
      </c>
      <c r="J222" s="22">
        <v>710000000</v>
      </c>
      <c r="K222" s="20" t="s">
        <v>41</v>
      </c>
      <c r="L222" s="20" t="s">
        <v>386</v>
      </c>
      <c r="M222" s="20" t="s">
        <v>42</v>
      </c>
      <c r="N222" s="20" t="s">
        <v>43</v>
      </c>
      <c r="O222" s="23" t="s">
        <v>443</v>
      </c>
      <c r="P222" s="20" t="s">
        <v>825</v>
      </c>
      <c r="Q222" s="20">
        <v>796</v>
      </c>
      <c r="R222" s="20" t="s">
        <v>54</v>
      </c>
      <c r="S222" s="98">
        <v>11</v>
      </c>
      <c r="T222" s="24">
        <f>145200-(145200*12/112)</f>
        <v>129642.85714285714</v>
      </c>
      <c r="U222" s="24">
        <f t="shared" si="87"/>
        <v>1426071.4285714286</v>
      </c>
      <c r="V222" s="24">
        <f t="shared" si="89"/>
        <v>1597200</v>
      </c>
      <c r="W222" s="30" t="s">
        <v>826</v>
      </c>
      <c r="X222" s="25">
        <v>2018</v>
      </c>
      <c r="Y222" s="62"/>
      <c r="Z222" s="102"/>
      <c r="AA222" s="102"/>
      <c r="AB222" s="10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52.8">
      <c r="A223" s="3"/>
      <c r="B223" s="20" t="s">
        <v>779</v>
      </c>
      <c r="C223" s="20" t="s">
        <v>36</v>
      </c>
      <c r="D223" s="22" t="s">
        <v>540</v>
      </c>
      <c r="E223" s="28" t="s">
        <v>541</v>
      </c>
      <c r="F223" s="40" t="s">
        <v>548</v>
      </c>
      <c r="G223" s="49"/>
      <c r="H223" s="20" t="s">
        <v>442</v>
      </c>
      <c r="I223" s="20">
        <v>0</v>
      </c>
      <c r="J223" s="22">
        <v>710000000</v>
      </c>
      <c r="K223" s="20" t="s">
        <v>41</v>
      </c>
      <c r="L223" s="20" t="s">
        <v>386</v>
      </c>
      <c r="M223" s="20" t="s">
        <v>42</v>
      </c>
      <c r="N223" s="20" t="s">
        <v>43</v>
      </c>
      <c r="O223" s="23" t="s">
        <v>443</v>
      </c>
      <c r="P223" s="20" t="s">
        <v>825</v>
      </c>
      <c r="Q223" s="20">
        <v>796</v>
      </c>
      <c r="R223" s="20" t="s">
        <v>54</v>
      </c>
      <c r="S223" s="98">
        <v>11</v>
      </c>
      <c r="T223" s="24">
        <f>100000-(100000*12/112)</f>
        <v>89285.71428571429</v>
      </c>
      <c r="U223" s="24">
        <f t="shared" si="87"/>
        <v>982142.85714285716</v>
      </c>
      <c r="V223" s="24">
        <f t="shared" si="89"/>
        <v>1100000</v>
      </c>
      <c r="W223" s="30" t="s">
        <v>826</v>
      </c>
      <c r="X223" s="25">
        <v>2018</v>
      </c>
      <c r="Y223" s="62"/>
      <c r="Z223" s="102"/>
      <c r="AA223" s="102"/>
      <c r="AB223" s="10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52.8">
      <c r="A224" s="3"/>
      <c r="B224" s="20" t="s">
        <v>780</v>
      </c>
      <c r="C224" s="20" t="s">
        <v>36</v>
      </c>
      <c r="D224" s="22" t="s">
        <v>550</v>
      </c>
      <c r="E224" s="28" t="s">
        <v>541</v>
      </c>
      <c r="F224" s="40" t="s">
        <v>551</v>
      </c>
      <c r="G224" s="49"/>
      <c r="H224" s="20" t="s">
        <v>442</v>
      </c>
      <c r="I224" s="20">
        <v>0</v>
      </c>
      <c r="J224" s="22">
        <v>710000000</v>
      </c>
      <c r="K224" s="20" t="s">
        <v>41</v>
      </c>
      <c r="L224" s="20" t="s">
        <v>386</v>
      </c>
      <c r="M224" s="20" t="s">
        <v>42</v>
      </c>
      <c r="N224" s="20" t="s">
        <v>43</v>
      </c>
      <c r="O224" s="23" t="s">
        <v>443</v>
      </c>
      <c r="P224" s="20" t="s">
        <v>825</v>
      </c>
      <c r="Q224" s="20">
        <v>796</v>
      </c>
      <c r="R224" s="20" t="s">
        <v>54</v>
      </c>
      <c r="S224" s="98">
        <v>12</v>
      </c>
      <c r="T224" s="24">
        <f>45000-(45000*12/112)</f>
        <v>40178.571428571428</v>
      </c>
      <c r="U224" s="24">
        <f t="shared" si="87"/>
        <v>482142.85714285716</v>
      </c>
      <c r="V224" s="24">
        <f t="shared" si="89"/>
        <v>540000</v>
      </c>
      <c r="W224" s="30" t="s">
        <v>826</v>
      </c>
      <c r="X224" s="25">
        <v>2018</v>
      </c>
      <c r="Y224" s="62"/>
      <c r="Z224" s="102"/>
      <c r="AA224" s="102"/>
      <c r="AB224" s="10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52.8">
      <c r="A225" s="3"/>
      <c r="B225" s="20" t="s">
        <v>781</v>
      </c>
      <c r="C225" s="20" t="s">
        <v>36</v>
      </c>
      <c r="D225" s="22" t="s">
        <v>553</v>
      </c>
      <c r="E225" s="28" t="s">
        <v>541</v>
      </c>
      <c r="F225" s="40" t="s">
        <v>554</v>
      </c>
      <c r="G225" s="49"/>
      <c r="H225" s="20" t="s">
        <v>442</v>
      </c>
      <c r="I225" s="20">
        <v>0</v>
      </c>
      <c r="J225" s="22">
        <v>710000000</v>
      </c>
      <c r="K225" s="20" t="s">
        <v>41</v>
      </c>
      <c r="L225" s="20" t="s">
        <v>386</v>
      </c>
      <c r="M225" s="20" t="s">
        <v>42</v>
      </c>
      <c r="N225" s="20" t="s">
        <v>43</v>
      </c>
      <c r="O225" s="23" t="s">
        <v>443</v>
      </c>
      <c r="P225" s="20" t="s">
        <v>825</v>
      </c>
      <c r="Q225" s="20">
        <v>796</v>
      </c>
      <c r="R225" s="20" t="s">
        <v>54</v>
      </c>
      <c r="S225" s="98">
        <v>11</v>
      </c>
      <c r="T225" s="24">
        <f>100000-(100000*12/112)</f>
        <v>89285.71428571429</v>
      </c>
      <c r="U225" s="24">
        <f t="shared" si="87"/>
        <v>982142.85714285716</v>
      </c>
      <c r="V225" s="24">
        <f t="shared" si="89"/>
        <v>1100000</v>
      </c>
      <c r="W225" s="30" t="s">
        <v>826</v>
      </c>
      <c r="X225" s="25">
        <v>2018</v>
      </c>
      <c r="Y225" s="62"/>
      <c r="Z225" s="102"/>
      <c r="AA225" s="102"/>
      <c r="AB225" s="10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66">
      <c r="A226" s="3"/>
      <c r="B226" s="20" t="s">
        <v>782</v>
      </c>
      <c r="C226" s="28" t="s">
        <v>36</v>
      </c>
      <c r="D226" s="22" t="s">
        <v>556</v>
      </c>
      <c r="E226" s="28" t="s">
        <v>557</v>
      </c>
      <c r="F226" s="40" t="s">
        <v>813</v>
      </c>
      <c r="G226" s="49"/>
      <c r="H226" s="28" t="s">
        <v>442</v>
      </c>
      <c r="I226" s="28">
        <v>0</v>
      </c>
      <c r="J226" s="22">
        <v>710000000</v>
      </c>
      <c r="K226" s="28" t="s">
        <v>41</v>
      </c>
      <c r="L226" s="28" t="s">
        <v>386</v>
      </c>
      <c r="M226" s="28" t="s">
        <v>42</v>
      </c>
      <c r="N226" s="28" t="s">
        <v>43</v>
      </c>
      <c r="O226" s="23" t="s">
        <v>443</v>
      </c>
      <c r="P226" s="20" t="s">
        <v>825</v>
      </c>
      <c r="Q226" s="28">
        <v>796</v>
      </c>
      <c r="R226" s="28" t="s">
        <v>54</v>
      </c>
      <c r="S226" s="97">
        <v>68</v>
      </c>
      <c r="T226" s="24">
        <f>45000-(45000*12/112)</f>
        <v>40178.571428571428</v>
      </c>
      <c r="U226" s="24">
        <f t="shared" si="87"/>
        <v>2732142.8571428573</v>
      </c>
      <c r="V226" s="29">
        <f t="shared" si="89"/>
        <v>3060000</v>
      </c>
      <c r="W226" s="30" t="s">
        <v>826</v>
      </c>
      <c r="X226" s="30">
        <v>2018</v>
      </c>
      <c r="Y226" s="62"/>
      <c r="Z226" s="102"/>
      <c r="AA226" s="102"/>
      <c r="AB226" s="10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52.8">
      <c r="A227" s="3"/>
      <c r="B227" s="20" t="s">
        <v>783</v>
      </c>
      <c r="C227" s="20" t="s">
        <v>36</v>
      </c>
      <c r="D227" s="22" t="s">
        <v>559</v>
      </c>
      <c r="E227" s="28" t="s">
        <v>519</v>
      </c>
      <c r="F227" s="20" t="s">
        <v>560</v>
      </c>
      <c r="G227" s="52"/>
      <c r="H227" s="20" t="s">
        <v>442</v>
      </c>
      <c r="I227" s="20">
        <v>0</v>
      </c>
      <c r="J227" s="22">
        <v>710000000</v>
      </c>
      <c r="K227" s="20" t="s">
        <v>41</v>
      </c>
      <c r="L227" s="20" t="s">
        <v>386</v>
      </c>
      <c r="M227" s="20" t="s">
        <v>42</v>
      </c>
      <c r="N227" s="20" t="s">
        <v>43</v>
      </c>
      <c r="O227" s="23" t="s">
        <v>443</v>
      </c>
      <c r="P227" s="20" t="s">
        <v>825</v>
      </c>
      <c r="Q227" s="20">
        <v>796</v>
      </c>
      <c r="R227" s="20" t="s">
        <v>54</v>
      </c>
      <c r="S227" s="98">
        <v>2</v>
      </c>
      <c r="T227" s="24">
        <f>315000-(315000*12/112)</f>
        <v>281250</v>
      </c>
      <c r="U227" s="24">
        <f t="shared" si="87"/>
        <v>562500</v>
      </c>
      <c r="V227" s="24">
        <f t="shared" si="89"/>
        <v>630000</v>
      </c>
      <c r="W227" s="30" t="s">
        <v>826</v>
      </c>
      <c r="X227" s="25">
        <v>2018</v>
      </c>
      <c r="Y227" s="62"/>
      <c r="Z227" s="102"/>
      <c r="AA227" s="102"/>
      <c r="AB227" s="10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52.8">
      <c r="A228" s="3"/>
      <c r="B228" s="20" t="s">
        <v>784</v>
      </c>
      <c r="C228" s="28" t="s">
        <v>36</v>
      </c>
      <c r="D228" s="28" t="s">
        <v>562</v>
      </c>
      <c r="E228" s="28" t="s">
        <v>563</v>
      </c>
      <c r="F228" s="40" t="s">
        <v>564</v>
      </c>
      <c r="G228" s="49"/>
      <c r="H228" s="53" t="s">
        <v>40</v>
      </c>
      <c r="I228" s="28">
        <v>0</v>
      </c>
      <c r="J228" s="22">
        <v>710000000</v>
      </c>
      <c r="K228" s="28" t="s">
        <v>41</v>
      </c>
      <c r="L228" s="28" t="s">
        <v>386</v>
      </c>
      <c r="M228" s="28" t="s">
        <v>42</v>
      </c>
      <c r="N228" s="28" t="s">
        <v>43</v>
      </c>
      <c r="O228" s="23" t="s">
        <v>443</v>
      </c>
      <c r="P228" s="20" t="s">
        <v>302</v>
      </c>
      <c r="Q228" s="28">
        <v>796</v>
      </c>
      <c r="R228" s="28" t="s">
        <v>54</v>
      </c>
      <c r="S228" s="94">
        <v>1</v>
      </c>
      <c r="T228" s="24">
        <f>86000-(86000*12/112)</f>
        <v>76785.71428571429</v>
      </c>
      <c r="U228" s="24">
        <f t="shared" si="87"/>
        <v>76785.71428571429</v>
      </c>
      <c r="V228" s="29">
        <f t="shared" si="89"/>
        <v>86000</v>
      </c>
      <c r="W228" s="50"/>
      <c r="X228" s="30">
        <v>2018</v>
      </c>
      <c r="Y228" s="62"/>
      <c r="Z228" s="102"/>
      <c r="AA228" s="102"/>
      <c r="AB228" s="10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52.8">
      <c r="A229" s="3"/>
      <c r="B229" s="20" t="s">
        <v>785</v>
      </c>
      <c r="C229" s="28" t="s">
        <v>36</v>
      </c>
      <c r="D229" s="28" t="s">
        <v>566</v>
      </c>
      <c r="E229" s="28" t="s">
        <v>563</v>
      </c>
      <c r="F229" s="40" t="s">
        <v>564</v>
      </c>
      <c r="G229" s="49"/>
      <c r="H229" s="53" t="s">
        <v>40</v>
      </c>
      <c r="I229" s="28">
        <v>0</v>
      </c>
      <c r="J229" s="22">
        <v>710000000</v>
      </c>
      <c r="K229" s="28" t="s">
        <v>41</v>
      </c>
      <c r="L229" s="28" t="s">
        <v>386</v>
      </c>
      <c r="M229" s="28" t="s">
        <v>42</v>
      </c>
      <c r="N229" s="28" t="s">
        <v>43</v>
      </c>
      <c r="O229" s="23" t="s">
        <v>443</v>
      </c>
      <c r="P229" s="20" t="s">
        <v>302</v>
      </c>
      <c r="Q229" s="28">
        <v>796</v>
      </c>
      <c r="R229" s="28" t="s">
        <v>54</v>
      </c>
      <c r="S229" s="94">
        <v>2</v>
      </c>
      <c r="T229" s="24">
        <f>70000-(70000*12/112)</f>
        <v>62500</v>
      </c>
      <c r="U229" s="24">
        <f t="shared" si="87"/>
        <v>125000</v>
      </c>
      <c r="V229" s="29">
        <f t="shared" si="89"/>
        <v>140000</v>
      </c>
      <c r="W229" s="50"/>
      <c r="X229" s="25">
        <v>2018</v>
      </c>
      <c r="Y229" s="62"/>
      <c r="Z229" s="102"/>
      <c r="AA229" s="102"/>
      <c r="AB229" s="10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52.8">
      <c r="A230" s="3"/>
      <c r="B230" s="20" t="s">
        <v>786</v>
      </c>
      <c r="C230" s="20" t="s">
        <v>36</v>
      </c>
      <c r="D230" s="28" t="s">
        <v>568</v>
      </c>
      <c r="E230" s="28" t="s">
        <v>569</v>
      </c>
      <c r="F230" s="20" t="s">
        <v>570</v>
      </c>
      <c r="G230" s="52"/>
      <c r="H230" s="52" t="s">
        <v>40</v>
      </c>
      <c r="I230" s="20">
        <v>0</v>
      </c>
      <c r="J230" s="22">
        <v>710000000</v>
      </c>
      <c r="K230" s="20" t="s">
        <v>41</v>
      </c>
      <c r="L230" s="28" t="s">
        <v>386</v>
      </c>
      <c r="M230" s="20" t="s">
        <v>42</v>
      </c>
      <c r="N230" s="20" t="s">
        <v>43</v>
      </c>
      <c r="O230" s="23" t="s">
        <v>443</v>
      </c>
      <c r="P230" s="20" t="s">
        <v>302</v>
      </c>
      <c r="Q230" s="20">
        <v>796</v>
      </c>
      <c r="R230" s="20" t="s">
        <v>54</v>
      </c>
      <c r="S230" s="94">
        <v>2</v>
      </c>
      <c r="T230" s="24">
        <f>350000-(350000*12/112)</f>
        <v>312500</v>
      </c>
      <c r="U230" s="24">
        <f t="shared" si="87"/>
        <v>625000</v>
      </c>
      <c r="V230" s="29">
        <v>700000</v>
      </c>
      <c r="W230" s="51"/>
      <c r="X230" s="25">
        <v>2018</v>
      </c>
      <c r="Y230" s="62"/>
      <c r="Z230" s="102"/>
      <c r="AA230" s="102"/>
      <c r="AB230" s="10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52.8">
      <c r="A231" s="3"/>
      <c r="B231" s="20" t="s">
        <v>787</v>
      </c>
      <c r="C231" s="20" t="s">
        <v>36</v>
      </c>
      <c r="D231" s="28" t="s">
        <v>572</v>
      </c>
      <c r="E231" s="28" t="s">
        <v>573</v>
      </c>
      <c r="F231" s="52" t="s">
        <v>574</v>
      </c>
      <c r="G231" s="52"/>
      <c r="H231" s="52" t="s">
        <v>40</v>
      </c>
      <c r="I231" s="20">
        <v>0</v>
      </c>
      <c r="J231" s="22">
        <v>710000000</v>
      </c>
      <c r="K231" s="20" t="s">
        <v>41</v>
      </c>
      <c r="L231" s="28" t="s">
        <v>386</v>
      </c>
      <c r="M231" s="20" t="s">
        <v>42</v>
      </c>
      <c r="N231" s="20" t="s">
        <v>43</v>
      </c>
      <c r="O231" s="23" t="s">
        <v>443</v>
      </c>
      <c r="P231" s="20" t="s">
        <v>302</v>
      </c>
      <c r="Q231" s="20">
        <v>796</v>
      </c>
      <c r="R231" s="20" t="s">
        <v>54</v>
      </c>
      <c r="S231" s="94">
        <v>1</v>
      </c>
      <c r="T231" s="24">
        <f>89000-(89000*12/112)</f>
        <v>79464.28571428571</v>
      </c>
      <c r="U231" s="24">
        <f t="shared" si="87"/>
        <v>79464.28571428571</v>
      </c>
      <c r="V231" s="29">
        <v>89000</v>
      </c>
      <c r="W231" s="51"/>
      <c r="X231" s="25">
        <v>2018</v>
      </c>
      <c r="Y231" s="62"/>
      <c r="Z231" s="102"/>
      <c r="AA231" s="102"/>
      <c r="AB231" s="10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52.8">
      <c r="A232" s="3"/>
      <c r="B232" s="20" t="s">
        <v>788</v>
      </c>
      <c r="C232" s="20" t="s">
        <v>36</v>
      </c>
      <c r="D232" s="28" t="s">
        <v>572</v>
      </c>
      <c r="E232" s="28" t="s">
        <v>573</v>
      </c>
      <c r="F232" s="28" t="s">
        <v>576</v>
      </c>
      <c r="G232" s="52"/>
      <c r="H232" s="52" t="s">
        <v>40</v>
      </c>
      <c r="I232" s="20">
        <v>0</v>
      </c>
      <c r="J232" s="22">
        <v>710000000</v>
      </c>
      <c r="K232" s="20" t="s">
        <v>41</v>
      </c>
      <c r="L232" s="28" t="s">
        <v>386</v>
      </c>
      <c r="M232" s="20" t="s">
        <v>42</v>
      </c>
      <c r="N232" s="20" t="s">
        <v>43</v>
      </c>
      <c r="O232" s="23" t="s">
        <v>367</v>
      </c>
      <c r="P232" s="20" t="s">
        <v>302</v>
      </c>
      <c r="Q232" s="20">
        <v>796</v>
      </c>
      <c r="R232" s="20" t="s">
        <v>54</v>
      </c>
      <c r="S232" s="94">
        <v>1</v>
      </c>
      <c r="T232" s="24">
        <f>120000-(120000*12/112)</f>
        <v>107142.85714285714</v>
      </c>
      <c r="U232" s="24">
        <f t="shared" si="87"/>
        <v>107142.85714285714</v>
      </c>
      <c r="V232" s="29">
        <v>120000</v>
      </c>
      <c r="W232" s="51"/>
      <c r="X232" s="25">
        <v>2018</v>
      </c>
      <c r="Y232" s="62"/>
      <c r="Z232" s="102"/>
      <c r="AA232" s="102"/>
      <c r="AB232" s="10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58.5" customHeight="1">
      <c r="A233" s="3"/>
      <c r="B233" s="20" t="s">
        <v>789</v>
      </c>
      <c r="C233" s="20" t="s">
        <v>36</v>
      </c>
      <c r="D233" s="28" t="s">
        <v>578</v>
      </c>
      <c r="E233" s="28" t="s">
        <v>579</v>
      </c>
      <c r="F233" s="28" t="s">
        <v>580</v>
      </c>
      <c r="G233" s="52"/>
      <c r="H233" s="52" t="s">
        <v>40</v>
      </c>
      <c r="I233" s="20">
        <v>0</v>
      </c>
      <c r="J233" s="22">
        <v>710000000</v>
      </c>
      <c r="K233" s="20" t="s">
        <v>41</v>
      </c>
      <c r="L233" s="28" t="s">
        <v>386</v>
      </c>
      <c r="M233" s="20" t="s">
        <v>42</v>
      </c>
      <c r="N233" s="20" t="s">
        <v>43</v>
      </c>
      <c r="O233" s="23" t="s">
        <v>367</v>
      </c>
      <c r="P233" s="20" t="s">
        <v>302</v>
      </c>
      <c r="Q233" s="20">
        <v>796</v>
      </c>
      <c r="R233" s="20" t="s">
        <v>54</v>
      </c>
      <c r="S233" s="94">
        <v>5</v>
      </c>
      <c r="T233" s="24">
        <f>41500-(41500*12/112)</f>
        <v>37053.571428571428</v>
      </c>
      <c r="U233" s="24">
        <f t="shared" si="87"/>
        <v>185267.85714285713</v>
      </c>
      <c r="V233" s="29">
        <v>207500</v>
      </c>
      <c r="W233" s="51"/>
      <c r="X233" s="25">
        <v>2018</v>
      </c>
      <c r="Y233" s="62"/>
      <c r="Z233" s="102"/>
      <c r="AA233" s="102"/>
      <c r="AB233" s="10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52.8">
      <c r="A234" s="3"/>
      <c r="B234" s="20" t="s">
        <v>790</v>
      </c>
      <c r="C234" s="28" t="s">
        <v>36</v>
      </c>
      <c r="D234" s="28" t="s">
        <v>582</v>
      </c>
      <c r="E234" s="28" t="s">
        <v>583</v>
      </c>
      <c r="F234" s="40" t="s">
        <v>584</v>
      </c>
      <c r="G234" s="49"/>
      <c r="H234" s="53" t="s">
        <v>40</v>
      </c>
      <c r="I234" s="28">
        <v>0</v>
      </c>
      <c r="J234" s="22">
        <v>710000000</v>
      </c>
      <c r="K234" s="28" t="s">
        <v>41</v>
      </c>
      <c r="L234" s="28" t="s">
        <v>386</v>
      </c>
      <c r="M234" s="28" t="s">
        <v>42</v>
      </c>
      <c r="N234" s="28" t="s">
        <v>43</v>
      </c>
      <c r="O234" s="23" t="s">
        <v>367</v>
      </c>
      <c r="P234" s="20" t="s">
        <v>302</v>
      </c>
      <c r="Q234" s="28">
        <v>796</v>
      </c>
      <c r="R234" s="28" t="s">
        <v>54</v>
      </c>
      <c r="S234" s="94">
        <v>5</v>
      </c>
      <c r="T234" s="24">
        <f>47000-(47000*12/112)</f>
        <v>41964.285714285717</v>
      </c>
      <c r="U234" s="24">
        <f t="shared" si="87"/>
        <v>209821.42857142858</v>
      </c>
      <c r="V234" s="29">
        <v>234999.97</v>
      </c>
      <c r="W234" s="50"/>
      <c r="X234" s="30">
        <v>2018</v>
      </c>
      <c r="Y234" s="62"/>
      <c r="Z234" s="102"/>
      <c r="AA234" s="102"/>
      <c r="AB234" s="10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52.8">
      <c r="A235" s="3"/>
      <c r="B235" s="20" t="s">
        <v>791</v>
      </c>
      <c r="C235" s="28" t="s">
        <v>36</v>
      </c>
      <c r="D235" s="28" t="s">
        <v>586</v>
      </c>
      <c r="E235" s="28" t="s">
        <v>587</v>
      </c>
      <c r="F235" s="40" t="s">
        <v>588</v>
      </c>
      <c r="G235" s="49"/>
      <c r="H235" s="53" t="s">
        <v>40</v>
      </c>
      <c r="I235" s="28">
        <v>0</v>
      </c>
      <c r="J235" s="22">
        <v>710000000</v>
      </c>
      <c r="K235" s="28" t="s">
        <v>41</v>
      </c>
      <c r="L235" s="28" t="s">
        <v>386</v>
      </c>
      <c r="M235" s="28" t="s">
        <v>42</v>
      </c>
      <c r="N235" s="28" t="s">
        <v>43</v>
      </c>
      <c r="O235" s="23" t="s">
        <v>367</v>
      </c>
      <c r="P235" s="20" t="s">
        <v>302</v>
      </c>
      <c r="Q235" s="28">
        <v>796</v>
      </c>
      <c r="R235" s="28" t="s">
        <v>54</v>
      </c>
      <c r="S235" s="94">
        <v>5</v>
      </c>
      <c r="T235" s="24">
        <f>79000-(79000*12/112)</f>
        <v>70535.71428571429</v>
      </c>
      <c r="U235" s="24">
        <f t="shared" si="87"/>
        <v>352678.57142857148</v>
      </c>
      <c r="V235" s="29">
        <v>394999.98</v>
      </c>
      <c r="W235" s="50"/>
      <c r="X235" s="30">
        <v>2018</v>
      </c>
      <c r="Y235" s="62"/>
      <c r="Z235" s="102"/>
      <c r="AA235" s="102"/>
      <c r="AB235" s="10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101.25" customHeight="1">
      <c r="A236" s="3"/>
      <c r="B236" s="20" t="s">
        <v>792</v>
      </c>
      <c r="C236" s="40" t="s">
        <v>36</v>
      </c>
      <c r="D236" s="54" t="s">
        <v>590</v>
      </c>
      <c r="E236" s="40" t="s">
        <v>591</v>
      </c>
      <c r="F236" s="40" t="s">
        <v>592</v>
      </c>
      <c r="G236" s="55"/>
      <c r="H236" s="40" t="s">
        <v>593</v>
      </c>
      <c r="I236" s="56">
        <v>0</v>
      </c>
      <c r="J236" s="41">
        <v>710000000</v>
      </c>
      <c r="K236" s="40" t="s">
        <v>41</v>
      </c>
      <c r="L236" s="40" t="s">
        <v>386</v>
      </c>
      <c r="M236" s="40" t="s">
        <v>42</v>
      </c>
      <c r="N236" s="41" t="s">
        <v>43</v>
      </c>
      <c r="O236" s="76" t="s">
        <v>743</v>
      </c>
      <c r="P236" s="20" t="s">
        <v>302</v>
      </c>
      <c r="Q236" s="28">
        <v>796</v>
      </c>
      <c r="R236" s="40" t="s">
        <v>54</v>
      </c>
      <c r="S236" s="96">
        <v>24</v>
      </c>
      <c r="T236" s="24">
        <f>25000-(25000*12/112)</f>
        <v>22321.428571428572</v>
      </c>
      <c r="U236" s="43">
        <f t="shared" si="87"/>
        <v>535714.28571428568</v>
      </c>
      <c r="V236" s="57">
        <f>U236+(U236*12%)</f>
        <v>600000</v>
      </c>
      <c r="W236" s="55"/>
      <c r="X236" s="58">
        <v>2018</v>
      </c>
      <c r="Y236" s="62"/>
      <c r="Z236" s="102"/>
      <c r="AA236" s="102"/>
      <c r="AB236" s="10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66">
      <c r="A237" s="3"/>
      <c r="B237" s="20" t="s">
        <v>793</v>
      </c>
      <c r="C237" s="40" t="s">
        <v>36</v>
      </c>
      <c r="D237" s="54" t="s">
        <v>595</v>
      </c>
      <c r="E237" s="40" t="s">
        <v>596</v>
      </c>
      <c r="F237" s="40" t="s">
        <v>597</v>
      </c>
      <c r="G237" s="40"/>
      <c r="H237" s="40" t="s">
        <v>593</v>
      </c>
      <c r="I237" s="56">
        <v>0</v>
      </c>
      <c r="J237" s="41">
        <v>710000000</v>
      </c>
      <c r="K237" s="40" t="s">
        <v>41</v>
      </c>
      <c r="L237" s="40" t="s">
        <v>386</v>
      </c>
      <c r="M237" s="40" t="s">
        <v>42</v>
      </c>
      <c r="N237" s="41" t="s">
        <v>43</v>
      </c>
      <c r="O237" s="76" t="s">
        <v>743</v>
      </c>
      <c r="P237" s="20" t="s">
        <v>302</v>
      </c>
      <c r="Q237" s="28">
        <v>796</v>
      </c>
      <c r="R237" s="40" t="s">
        <v>54</v>
      </c>
      <c r="S237" s="96">
        <v>29</v>
      </c>
      <c r="T237" s="43">
        <f>90000-(90000*12/112)</f>
        <v>80357.142857142855</v>
      </c>
      <c r="U237" s="43">
        <f t="shared" si="87"/>
        <v>2330357.1428571427</v>
      </c>
      <c r="V237" s="57">
        <f>U237+(U237*12%)</f>
        <v>2610000</v>
      </c>
      <c r="W237" s="55"/>
      <c r="X237" s="58">
        <v>2018</v>
      </c>
      <c r="Y237" s="62"/>
      <c r="Z237" s="102"/>
      <c r="AA237" s="102"/>
      <c r="AB237" s="10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66">
      <c r="A238" s="3"/>
      <c r="B238" s="20" t="s">
        <v>794</v>
      </c>
      <c r="C238" s="40" t="s">
        <v>36</v>
      </c>
      <c r="D238" s="54" t="s">
        <v>595</v>
      </c>
      <c r="E238" s="40" t="s">
        <v>596</v>
      </c>
      <c r="F238" s="40" t="s">
        <v>599</v>
      </c>
      <c r="G238" s="40"/>
      <c r="H238" s="40" t="s">
        <v>593</v>
      </c>
      <c r="I238" s="56">
        <v>0</v>
      </c>
      <c r="J238" s="41">
        <v>710000000</v>
      </c>
      <c r="K238" s="40" t="s">
        <v>41</v>
      </c>
      <c r="L238" s="40" t="s">
        <v>386</v>
      </c>
      <c r="M238" s="40" t="s">
        <v>42</v>
      </c>
      <c r="N238" s="41" t="s">
        <v>43</v>
      </c>
      <c r="O238" s="76" t="s">
        <v>743</v>
      </c>
      <c r="P238" s="20" t="s">
        <v>302</v>
      </c>
      <c r="Q238" s="28">
        <v>796</v>
      </c>
      <c r="R238" s="40" t="s">
        <v>54</v>
      </c>
      <c r="S238" s="96">
        <v>2</v>
      </c>
      <c r="T238" s="43">
        <f>182000-(182000*12/112)</f>
        <v>162500</v>
      </c>
      <c r="U238" s="43">
        <f t="shared" si="87"/>
        <v>325000</v>
      </c>
      <c r="V238" s="57">
        <f>U238+(U238*12%)</f>
        <v>364000</v>
      </c>
      <c r="W238" s="55"/>
      <c r="X238" s="58">
        <v>2018</v>
      </c>
      <c r="Y238" s="62"/>
      <c r="Z238" s="102"/>
      <c r="AA238" s="102"/>
      <c r="AB238" s="10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66">
      <c r="A239" s="3"/>
      <c r="B239" s="20" t="s">
        <v>795</v>
      </c>
      <c r="C239" s="40" t="s">
        <v>36</v>
      </c>
      <c r="D239" s="54" t="s">
        <v>595</v>
      </c>
      <c r="E239" s="40" t="s">
        <v>596</v>
      </c>
      <c r="F239" s="40" t="s">
        <v>601</v>
      </c>
      <c r="G239" s="40"/>
      <c r="H239" s="40" t="s">
        <v>593</v>
      </c>
      <c r="I239" s="56">
        <v>0</v>
      </c>
      <c r="J239" s="41">
        <v>710000000</v>
      </c>
      <c r="K239" s="40" t="s">
        <v>41</v>
      </c>
      <c r="L239" s="40" t="s">
        <v>386</v>
      </c>
      <c r="M239" s="40" t="s">
        <v>42</v>
      </c>
      <c r="N239" s="41" t="s">
        <v>43</v>
      </c>
      <c r="O239" s="76" t="s">
        <v>743</v>
      </c>
      <c r="P239" s="20" t="s">
        <v>302</v>
      </c>
      <c r="Q239" s="28">
        <v>796</v>
      </c>
      <c r="R239" s="40" t="s">
        <v>54</v>
      </c>
      <c r="S239" s="96">
        <v>4</v>
      </c>
      <c r="T239" s="43">
        <f>680500-(680500*12/112)</f>
        <v>607589.28571428568</v>
      </c>
      <c r="U239" s="43">
        <f t="shared" si="87"/>
        <v>2430357.1428571427</v>
      </c>
      <c r="V239" s="57">
        <f>U239+(U239*12%)</f>
        <v>2722000</v>
      </c>
      <c r="W239" s="55"/>
      <c r="X239" s="58">
        <v>2018</v>
      </c>
      <c r="Y239" s="62"/>
      <c r="Z239" s="102"/>
      <c r="AA239" s="102"/>
      <c r="AB239" s="10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66">
      <c r="A240" s="3"/>
      <c r="B240" s="20" t="s">
        <v>796</v>
      </c>
      <c r="C240" s="40" t="s">
        <v>36</v>
      </c>
      <c r="D240" s="54" t="s">
        <v>595</v>
      </c>
      <c r="E240" s="40" t="s">
        <v>596</v>
      </c>
      <c r="F240" s="40" t="s">
        <v>603</v>
      </c>
      <c r="G240" s="40"/>
      <c r="H240" s="40" t="s">
        <v>593</v>
      </c>
      <c r="I240" s="56">
        <v>0</v>
      </c>
      <c r="J240" s="41">
        <v>710000000</v>
      </c>
      <c r="K240" s="40" t="s">
        <v>41</v>
      </c>
      <c r="L240" s="40" t="s">
        <v>386</v>
      </c>
      <c r="M240" s="40" t="s">
        <v>42</v>
      </c>
      <c r="N240" s="41" t="s">
        <v>43</v>
      </c>
      <c r="O240" s="76" t="s">
        <v>743</v>
      </c>
      <c r="P240" s="20" t="s">
        <v>302</v>
      </c>
      <c r="Q240" s="28">
        <v>796</v>
      </c>
      <c r="R240" s="40" t="s">
        <v>54</v>
      </c>
      <c r="S240" s="96">
        <v>1</v>
      </c>
      <c r="T240" s="43">
        <f>757000-(757000*12/112)</f>
        <v>675892.85714285716</v>
      </c>
      <c r="U240" s="43">
        <f t="shared" si="87"/>
        <v>675892.85714285716</v>
      </c>
      <c r="V240" s="57">
        <f>U240+(U240*12%)</f>
        <v>757000</v>
      </c>
      <c r="W240" s="55"/>
      <c r="X240" s="58">
        <v>2018</v>
      </c>
      <c r="Y240" s="62"/>
      <c r="Z240" s="102"/>
      <c r="AA240" s="102"/>
      <c r="AB240" s="10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15" customHeight="1">
      <c r="A241" s="3"/>
      <c r="B241" s="135" t="s">
        <v>797</v>
      </c>
      <c r="C241" s="136"/>
      <c r="D241" s="34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83">
        <f>SUM(U14:U240)</f>
        <v>75696814.107142866</v>
      </c>
      <c r="V241" s="84">
        <f>SUM(V14:V240)</f>
        <v>84780431.75</v>
      </c>
      <c r="W241" s="35"/>
      <c r="X241" s="32"/>
      <c r="Y241" s="62"/>
      <c r="Z241" s="102"/>
      <c r="AA241" s="102"/>
      <c r="AB241" s="10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12.75" customHeight="1">
      <c r="A242" s="3"/>
      <c r="B242" s="135" t="s">
        <v>27</v>
      </c>
      <c r="C242" s="1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7"/>
      <c r="W242" s="37"/>
      <c r="X242" s="38"/>
      <c r="Y242" s="62"/>
      <c r="Z242" s="102"/>
      <c r="AA242" s="102"/>
      <c r="AB242" s="10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12.75" customHeight="1">
      <c r="A243" s="3"/>
      <c r="B243" s="133" t="s">
        <v>798</v>
      </c>
      <c r="C243" s="137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83">
        <v>0</v>
      </c>
      <c r="V243" s="84">
        <v>0</v>
      </c>
      <c r="W243" s="14"/>
      <c r="X243" s="12"/>
      <c r="Y243" s="62"/>
      <c r="Z243" s="102"/>
      <c r="AA243" s="102"/>
      <c r="AB243" s="10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12.75" customHeight="1">
      <c r="A244" s="3"/>
      <c r="B244" s="133" t="s">
        <v>28</v>
      </c>
      <c r="C244" s="13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9"/>
      <c r="W244" s="9"/>
      <c r="X244" s="10"/>
      <c r="Y244" s="62"/>
      <c r="Z244" s="102"/>
      <c r="AA244" s="102"/>
      <c r="AB244" s="10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132">
      <c r="A245" s="3"/>
      <c r="B245" s="66" t="s">
        <v>29</v>
      </c>
      <c r="C245" s="66" t="s">
        <v>36</v>
      </c>
      <c r="D245" s="66" t="s">
        <v>604</v>
      </c>
      <c r="E245" s="68" t="s">
        <v>605</v>
      </c>
      <c r="F245" s="68" t="s">
        <v>606</v>
      </c>
      <c r="G245" s="68" t="s">
        <v>605</v>
      </c>
      <c r="H245" s="66" t="s">
        <v>40</v>
      </c>
      <c r="I245" s="66">
        <v>100</v>
      </c>
      <c r="J245" s="68">
        <v>710000000</v>
      </c>
      <c r="K245" s="66" t="s">
        <v>41</v>
      </c>
      <c r="L245" s="68" t="s">
        <v>736</v>
      </c>
      <c r="M245" s="66" t="s">
        <v>42</v>
      </c>
      <c r="N245" s="68"/>
      <c r="O245" s="76" t="s">
        <v>301</v>
      </c>
      <c r="P245" s="20" t="s">
        <v>302</v>
      </c>
      <c r="Q245" s="66"/>
      <c r="R245" s="66" t="s">
        <v>607</v>
      </c>
      <c r="S245" s="99">
        <v>1</v>
      </c>
      <c r="T245" s="63">
        <f>172000-(172000*12/112)</f>
        <v>153571.42857142858</v>
      </c>
      <c r="U245" s="63">
        <f t="shared" ref="U245" si="90">S245*T245</f>
        <v>153571.42857142858</v>
      </c>
      <c r="V245" s="64">
        <f t="shared" ref="V245:V251" si="91">U245+(U245*12%)</f>
        <v>172000</v>
      </c>
      <c r="W245" s="71"/>
      <c r="X245" s="71">
        <v>2018</v>
      </c>
      <c r="Y245" s="72" t="s">
        <v>24</v>
      </c>
      <c r="Z245" s="102"/>
      <c r="AA245" s="102"/>
      <c r="AB245" s="10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198">
      <c r="A246" s="3"/>
      <c r="B246" s="66" t="s">
        <v>30</v>
      </c>
      <c r="C246" s="66" t="s">
        <v>36</v>
      </c>
      <c r="D246" s="66" t="s">
        <v>608</v>
      </c>
      <c r="E246" s="66" t="s">
        <v>609</v>
      </c>
      <c r="F246" s="66" t="s">
        <v>609</v>
      </c>
      <c r="G246" s="66"/>
      <c r="H246" s="66" t="s">
        <v>40</v>
      </c>
      <c r="I246" s="66">
        <v>100</v>
      </c>
      <c r="J246" s="68">
        <v>710000000</v>
      </c>
      <c r="K246" s="66" t="s">
        <v>41</v>
      </c>
      <c r="L246" s="68" t="s">
        <v>736</v>
      </c>
      <c r="M246" s="66" t="s">
        <v>42</v>
      </c>
      <c r="N246" s="68"/>
      <c r="O246" s="76" t="s">
        <v>743</v>
      </c>
      <c r="P246" s="66" t="s">
        <v>741</v>
      </c>
      <c r="Q246" s="66"/>
      <c r="R246" s="66" t="s">
        <v>607</v>
      </c>
      <c r="S246" s="99">
        <v>1</v>
      </c>
      <c r="T246" s="63">
        <f>983000-(983000*12/112)</f>
        <v>877678.57142857148</v>
      </c>
      <c r="U246" s="63">
        <f t="shared" ref="U246" si="92">S246*T246</f>
        <v>877678.57142857148</v>
      </c>
      <c r="V246" s="64">
        <f t="shared" si="91"/>
        <v>983000</v>
      </c>
      <c r="W246" s="71"/>
      <c r="X246" s="71">
        <v>2018</v>
      </c>
      <c r="Y246" s="72" t="s">
        <v>24</v>
      </c>
      <c r="Z246" s="102"/>
      <c r="AA246" s="102"/>
      <c r="AB246" s="10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55.2">
      <c r="A247" s="3"/>
      <c r="B247" s="69" t="s">
        <v>31</v>
      </c>
      <c r="C247" s="66" t="s">
        <v>36</v>
      </c>
      <c r="D247" s="74" t="s">
        <v>610</v>
      </c>
      <c r="E247" s="74" t="s">
        <v>815</v>
      </c>
      <c r="F247" s="74" t="s">
        <v>611</v>
      </c>
      <c r="G247" s="69"/>
      <c r="H247" s="75" t="s">
        <v>40</v>
      </c>
      <c r="I247" s="69">
        <v>100</v>
      </c>
      <c r="J247" s="68">
        <v>710000000</v>
      </c>
      <c r="K247" s="75" t="s">
        <v>41</v>
      </c>
      <c r="L247" s="68" t="s">
        <v>736</v>
      </c>
      <c r="M247" s="75" t="s">
        <v>42</v>
      </c>
      <c r="N247" s="68"/>
      <c r="O247" s="66" t="s">
        <v>742</v>
      </c>
      <c r="P247" s="20" t="s">
        <v>302</v>
      </c>
      <c r="Q247" s="69"/>
      <c r="R247" s="75" t="s">
        <v>607</v>
      </c>
      <c r="S247" s="95">
        <v>1</v>
      </c>
      <c r="T247" s="63">
        <f>750000-(750000*12/112)</f>
        <v>669642.85714285716</v>
      </c>
      <c r="U247" s="63">
        <f t="shared" ref="U247" si="93">S247*T247</f>
        <v>669642.85714285716</v>
      </c>
      <c r="V247" s="64">
        <f t="shared" si="91"/>
        <v>750000</v>
      </c>
      <c r="W247" s="69"/>
      <c r="X247" s="71">
        <v>2018</v>
      </c>
      <c r="Y247" s="72"/>
      <c r="Z247" s="102"/>
      <c r="AA247" s="102"/>
      <c r="AB247" s="10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96.6">
      <c r="A248" s="3"/>
      <c r="B248" s="85" t="s">
        <v>612</v>
      </c>
      <c r="C248" s="86" t="s">
        <v>36</v>
      </c>
      <c r="D248" s="87" t="s">
        <v>610</v>
      </c>
      <c r="E248" s="87" t="s">
        <v>815</v>
      </c>
      <c r="F248" s="74" t="s">
        <v>613</v>
      </c>
      <c r="G248" s="69"/>
      <c r="H248" s="75" t="s">
        <v>40</v>
      </c>
      <c r="I248" s="69">
        <v>100</v>
      </c>
      <c r="J248" s="68">
        <v>710000000</v>
      </c>
      <c r="K248" s="75" t="s">
        <v>41</v>
      </c>
      <c r="L248" s="68" t="s">
        <v>736</v>
      </c>
      <c r="M248" s="75" t="s">
        <v>42</v>
      </c>
      <c r="N248" s="68"/>
      <c r="O248" s="66" t="s">
        <v>742</v>
      </c>
      <c r="P248" s="20" t="s">
        <v>302</v>
      </c>
      <c r="Q248" s="69"/>
      <c r="R248" s="75" t="s">
        <v>607</v>
      </c>
      <c r="S248" s="95">
        <v>1</v>
      </c>
      <c r="T248" s="63">
        <f>900000-(900000*12/112)</f>
        <v>803571.42857142852</v>
      </c>
      <c r="U248" s="63">
        <v>0</v>
      </c>
      <c r="V248" s="64">
        <f t="shared" si="91"/>
        <v>0</v>
      </c>
      <c r="W248" s="69"/>
      <c r="X248" s="71">
        <v>2018</v>
      </c>
      <c r="Y248" s="72" t="s">
        <v>751</v>
      </c>
      <c r="Z248" s="102"/>
      <c r="AA248" s="102"/>
      <c r="AB248" s="10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96.6">
      <c r="A249" s="3"/>
      <c r="B249" s="85" t="s">
        <v>746</v>
      </c>
      <c r="C249" s="75" t="s">
        <v>36</v>
      </c>
      <c r="D249" s="87" t="s">
        <v>610</v>
      </c>
      <c r="E249" s="87" t="s">
        <v>815</v>
      </c>
      <c r="F249" s="74" t="s">
        <v>613</v>
      </c>
      <c r="G249" s="69"/>
      <c r="H249" s="75" t="s">
        <v>40</v>
      </c>
      <c r="I249" s="69">
        <v>100</v>
      </c>
      <c r="J249" s="68">
        <v>710000000</v>
      </c>
      <c r="K249" s="75" t="s">
        <v>41</v>
      </c>
      <c r="L249" s="68" t="s">
        <v>736</v>
      </c>
      <c r="M249" s="75" t="s">
        <v>42</v>
      </c>
      <c r="N249" s="68"/>
      <c r="O249" s="66" t="s">
        <v>742</v>
      </c>
      <c r="P249" s="20" t="s">
        <v>302</v>
      </c>
      <c r="Q249" s="69"/>
      <c r="R249" s="75" t="s">
        <v>607</v>
      </c>
      <c r="S249" s="95">
        <v>1</v>
      </c>
      <c r="T249" s="63">
        <f>300000-(300000*12/112)</f>
        <v>267857.14285714284</v>
      </c>
      <c r="U249" s="63">
        <f t="shared" ref="U249" si="94">S249*T249</f>
        <v>267857.14285714284</v>
      </c>
      <c r="V249" s="64">
        <f t="shared" si="91"/>
        <v>300000</v>
      </c>
      <c r="W249" s="69"/>
      <c r="X249" s="71">
        <v>2018</v>
      </c>
      <c r="Y249" s="72"/>
      <c r="Z249" s="102"/>
      <c r="AA249" s="102"/>
      <c r="AB249" s="10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52.8">
      <c r="A250" s="3"/>
      <c r="B250" s="69" t="s">
        <v>614</v>
      </c>
      <c r="C250" s="75" t="s">
        <v>36</v>
      </c>
      <c r="D250" s="75" t="s">
        <v>615</v>
      </c>
      <c r="E250" s="68" t="s">
        <v>616</v>
      </c>
      <c r="F250" s="68" t="s">
        <v>617</v>
      </c>
      <c r="G250" s="77"/>
      <c r="H250" s="75" t="s">
        <v>40</v>
      </c>
      <c r="I250" s="69">
        <v>100</v>
      </c>
      <c r="J250" s="68">
        <v>710000000</v>
      </c>
      <c r="K250" s="75" t="s">
        <v>41</v>
      </c>
      <c r="L250" s="68" t="s">
        <v>736</v>
      </c>
      <c r="M250" s="75" t="s">
        <v>42</v>
      </c>
      <c r="N250" s="68"/>
      <c r="O250" s="76" t="s">
        <v>301</v>
      </c>
      <c r="P250" s="20" t="s">
        <v>302</v>
      </c>
      <c r="Q250" s="77"/>
      <c r="R250" s="75" t="s">
        <v>607</v>
      </c>
      <c r="S250" s="95">
        <v>1</v>
      </c>
      <c r="T250" s="63">
        <f>45000-(45000*12/112)</f>
        <v>40178.571428571428</v>
      </c>
      <c r="U250" s="63">
        <v>0</v>
      </c>
      <c r="V250" s="64">
        <f t="shared" si="91"/>
        <v>0</v>
      </c>
      <c r="W250" s="77"/>
      <c r="X250" s="71">
        <v>2018</v>
      </c>
      <c r="Y250" s="72" t="s">
        <v>724</v>
      </c>
      <c r="Z250" s="102"/>
      <c r="AA250" s="102"/>
      <c r="AB250" s="10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52.8">
      <c r="A251" s="3"/>
      <c r="B251" s="69" t="s">
        <v>618</v>
      </c>
      <c r="C251" s="75" t="s">
        <v>36</v>
      </c>
      <c r="D251" s="75" t="s">
        <v>619</v>
      </c>
      <c r="E251" s="68" t="s">
        <v>620</v>
      </c>
      <c r="F251" s="68" t="s">
        <v>621</v>
      </c>
      <c r="G251" s="77"/>
      <c r="H251" s="75" t="s">
        <v>40</v>
      </c>
      <c r="I251" s="69">
        <v>100</v>
      </c>
      <c r="J251" s="68">
        <v>710000000</v>
      </c>
      <c r="K251" s="75" t="s">
        <v>41</v>
      </c>
      <c r="L251" s="68" t="s">
        <v>736</v>
      </c>
      <c r="M251" s="75" t="s">
        <v>42</v>
      </c>
      <c r="N251" s="68"/>
      <c r="O251" s="76" t="s">
        <v>301</v>
      </c>
      <c r="P251" s="20" t="s">
        <v>302</v>
      </c>
      <c r="Q251" s="77"/>
      <c r="R251" s="75" t="s">
        <v>607</v>
      </c>
      <c r="S251" s="95">
        <v>1</v>
      </c>
      <c r="T251" s="63">
        <f>179250-(179250*12/112)</f>
        <v>160044.64285714287</v>
      </c>
      <c r="U251" s="63">
        <f t="shared" ref="U251" si="95">S251*T251</f>
        <v>160044.64285714287</v>
      </c>
      <c r="V251" s="64">
        <f t="shared" si="91"/>
        <v>179250</v>
      </c>
      <c r="W251" s="77"/>
      <c r="X251" s="71">
        <v>2018</v>
      </c>
      <c r="Y251" s="72"/>
      <c r="Z251" s="102"/>
      <c r="AA251" s="102"/>
      <c r="AB251" s="10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52.8">
      <c r="B252" s="69" t="s">
        <v>622</v>
      </c>
      <c r="C252" s="75" t="s">
        <v>36</v>
      </c>
      <c r="D252" s="74" t="s">
        <v>623</v>
      </c>
      <c r="E252" s="68" t="s">
        <v>624</v>
      </c>
      <c r="F252" s="68" t="s">
        <v>625</v>
      </c>
      <c r="G252" s="77"/>
      <c r="H252" s="75" t="s">
        <v>40</v>
      </c>
      <c r="I252" s="69">
        <v>100</v>
      </c>
      <c r="J252" s="68">
        <v>710000000</v>
      </c>
      <c r="K252" s="75" t="s">
        <v>41</v>
      </c>
      <c r="L252" s="68" t="s">
        <v>736</v>
      </c>
      <c r="M252" s="75" t="s">
        <v>42</v>
      </c>
      <c r="N252" s="68"/>
      <c r="O252" s="76" t="s">
        <v>301</v>
      </c>
      <c r="P252" s="20" t="s">
        <v>302</v>
      </c>
      <c r="Q252" s="77"/>
      <c r="R252" s="75" t="s">
        <v>607</v>
      </c>
      <c r="S252" s="95">
        <v>1</v>
      </c>
      <c r="T252" s="63">
        <f>28000-(28000*12/112)</f>
        <v>25000</v>
      </c>
      <c r="U252" s="63">
        <v>0</v>
      </c>
      <c r="V252" s="64">
        <f>U252+(U252*12%)</f>
        <v>0</v>
      </c>
      <c r="W252" s="77"/>
      <c r="X252" s="71">
        <v>2018</v>
      </c>
      <c r="Y252" s="72" t="s">
        <v>724</v>
      </c>
    </row>
    <row r="253" spans="1:39" ht="52.8">
      <c r="B253" s="69" t="s">
        <v>626</v>
      </c>
      <c r="C253" s="75" t="s">
        <v>36</v>
      </c>
      <c r="D253" s="74" t="s">
        <v>627</v>
      </c>
      <c r="E253" s="68" t="s">
        <v>628</v>
      </c>
      <c r="F253" s="68" t="s">
        <v>629</v>
      </c>
      <c r="G253" s="77"/>
      <c r="H253" s="75" t="s">
        <v>40</v>
      </c>
      <c r="I253" s="69">
        <v>100</v>
      </c>
      <c r="J253" s="68">
        <v>710000000</v>
      </c>
      <c r="K253" s="75" t="s">
        <v>41</v>
      </c>
      <c r="L253" s="68" t="s">
        <v>736</v>
      </c>
      <c r="M253" s="75" t="s">
        <v>42</v>
      </c>
      <c r="N253" s="68"/>
      <c r="O253" s="76" t="s">
        <v>301</v>
      </c>
      <c r="P253" s="20" t="s">
        <v>302</v>
      </c>
      <c r="Q253" s="77"/>
      <c r="R253" s="75" t="s">
        <v>607</v>
      </c>
      <c r="S253" s="95">
        <v>1</v>
      </c>
      <c r="T253" s="63">
        <f>15000-(15000*12/112)</f>
        <v>13392.857142857143</v>
      </c>
      <c r="U253" s="63">
        <v>0</v>
      </c>
      <c r="V253" s="64">
        <f>U253+(U253*12%)</f>
        <v>0</v>
      </c>
      <c r="W253" s="77"/>
      <c r="X253" s="71">
        <v>2018</v>
      </c>
      <c r="Y253" s="72" t="s">
        <v>724</v>
      </c>
    </row>
    <row r="254" spans="1:39" ht="52.8">
      <c r="B254" s="69" t="s">
        <v>799</v>
      </c>
      <c r="C254" s="75" t="s">
        <v>36</v>
      </c>
      <c r="D254" s="68" t="s">
        <v>637</v>
      </c>
      <c r="E254" s="68" t="s">
        <v>638</v>
      </c>
      <c r="F254" s="68" t="s">
        <v>639</v>
      </c>
      <c r="G254" s="77"/>
      <c r="H254" s="75" t="s">
        <v>40</v>
      </c>
      <c r="I254" s="69">
        <v>100</v>
      </c>
      <c r="J254" s="68">
        <v>710000000</v>
      </c>
      <c r="K254" s="75" t="s">
        <v>41</v>
      </c>
      <c r="L254" s="68" t="s">
        <v>736</v>
      </c>
      <c r="M254" s="75" t="s">
        <v>42</v>
      </c>
      <c r="N254" s="68"/>
      <c r="O254" s="76" t="s">
        <v>301</v>
      </c>
      <c r="P254" s="20" t="s">
        <v>302</v>
      </c>
      <c r="Q254" s="77"/>
      <c r="R254" s="75" t="s">
        <v>607</v>
      </c>
      <c r="S254" s="95">
        <v>1</v>
      </c>
      <c r="T254" s="63">
        <f>250000-(250000*12/112)</f>
        <v>223214.28571428571</v>
      </c>
      <c r="U254" s="63">
        <v>0</v>
      </c>
      <c r="V254" s="64">
        <f t="shared" ref="V254" si="96">U254+(U254*12%)</f>
        <v>0</v>
      </c>
      <c r="W254" s="77"/>
      <c r="X254" s="71">
        <v>2018</v>
      </c>
      <c r="Y254" s="72" t="s">
        <v>724</v>
      </c>
    </row>
    <row r="255" spans="1:39" ht="52.8">
      <c r="B255" s="69" t="s">
        <v>800</v>
      </c>
      <c r="C255" s="75" t="s">
        <v>36</v>
      </c>
      <c r="D255" s="88" t="s">
        <v>641</v>
      </c>
      <c r="E255" s="68" t="s">
        <v>642</v>
      </c>
      <c r="F255" s="68" t="s">
        <v>643</v>
      </c>
      <c r="G255" s="69"/>
      <c r="H255" s="75" t="s">
        <v>40</v>
      </c>
      <c r="I255" s="69">
        <v>100</v>
      </c>
      <c r="J255" s="68">
        <v>710000000</v>
      </c>
      <c r="K255" s="75" t="s">
        <v>41</v>
      </c>
      <c r="L255" s="68" t="s">
        <v>736</v>
      </c>
      <c r="M255" s="75" t="s">
        <v>42</v>
      </c>
      <c r="N255" s="68"/>
      <c r="O255" s="76" t="s">
        <v>301</v>
      </c>
      <c r="P255" s="20" t="s">
        <v>302</v>
      </c>
      <c r="Q255" s="69"/>
      <c r="R255" s="75" t="s">
        <v>607</v>
      </c>
      <c r="S255" s="95">
        <v>1</v>
      </c>
      <c r="T255" s="63">
        <f>100000-(100000*12/112)</f>
        <v>89285.71428571429</v>
      </c>
      <c r="U255" s="63">
        <v>0</v>
      </c>
      <c r="V255" s="64">
        <f t="shared" ref="V255:V256" si="97">U255+(U255*12%)</f>
        <v>0</v>
      </c>
      <c r="W255" s="69"/>
      <c r="X255" s="71">
        <v>2018</v>
      </c>
      <c r="Y255" s="72" t="s">
        <v>724</v>
      </c>
    </row>
    <row r="256" spans="1:39" ht="118.8">
      <c r="B256" s="69" t="s">
        <v>801</v>
      </c>
      <c r="C256" s="75" t="s">
        <v>36</v>
      </c>
      <c r="D256" s="89" t="s">
        <v>752</v>
      </c>
      <c r="E256" s="68" t="s">
        <v>753</v>
      </c>
      <c r="F256" s="68" t="s">
        <v>754</v>
      </c>
      <c r="G256" s="69"/>
      <c r="H256" s="75" t="s">
        <v>40</v>
      </c>
      <c r="I256" s="69">
        <v>100</v>
      </c>
      <c r="J256" s="68">
        <v>710000000</v>
      </c>
      <c r="K256" s="75" t="s">
        <v>41</v>
      </c>
      <c r="L256" s="68" t="s">
        <v>736</v>
      </c>
      <c r="M256" s="75" t="s">
        <v>42</v>
      </c>
      <c r="N256" s="68"/>
      <c r="O256" s="76" t="s">
        <v>301</v>
      </c>
      <c r="P256" s="20" t="s">
        <v>302</v>
      </c>
      <c r="Q256" s="69"/>
      <c r="R256" s="75" t="s">
        <v>607</v>
      </c>
      <c r="S256" s="95">
        <v>1</v>
      </c>
      <c r="T256" s="63">
        <f>250000-(250000*12/112)</f>
        <v>223214.28571428571</v>
      </c>
      <c r="U256" s="63">
        <v>0</v>
      </c>
      <c r="V256" s="64">
        <f t="shared" si="97"/>
        <v>0</v>
      </c>
      <c r="W256" s="69"/>
      <c r="X256" s="71">
        <v>2018</v>
      </c>
      <c r="Y256" s="72" t="s">
        <v>724</v>
      </c>
    </row>
    <row r="257" spans="1:39" ht="52.8">
      <c r="B257" s="69" t="s">
        <v>802</v>
      </c>
      <c r="C257" s="75" t="s">
        <v>36</v>
      </c>
      <c r="D257" s="67" t="s">
        <v>710</v>
      </c>
      <c r="E257" s="68" t="s">
        <v>711</v>
      </c>
      <c r="F257" s="68" t="s">
        <v>711</v>
      </c>
      <c r="G257" s="69"/>
      <c r="H257" s="75" t="s">
        <v>40</v>
      </c>
      <c r="I257" s="69">
        <v>100</v>
      </c>
      <c r="J257" s="68">
        <v>710000000</v>
      </c>
      <c r="K257" s="75" t="s">
        <v>41</v>
      </c>
      <c r="L257" s="68" t="s">
        <v>736</v>
      </c>
      <c r="M257" s="75" t="s">
        <v>42</v>
      </c>
      <c r="N257" s="68"/>
      <c r="O257" s="70" t="s">
        <v>740</v>
      </c>
      <c r="P257" s="20" t="s">
        <v>302</v>
      </c>
      <c r="Q257" s="69"/>
      <c r="R257" s="75" t="s">
        <v>607</v>
      </c>
      <c r="S257" s="95">
        <v>1</v>
      </c>
      <c r="T257" s="63">
        <f>120000-(120000*12/112)</f>
        <v>107142.85714285714</v>
      </c>
      <c r="U257" s="63">
        <f t="shared" ref="U257" si="98">S257*T257</f>
        <v>107142.85714285714</v>
      </c>
      <c r="V257" s="64">
        <f>U257+(U257*12%)</f>
        <v>120000</v>
      </c>
      <c r="W257" s="69"/>
      <c r="X257" s="71">
        <v>2018</v>
      </c>
      <c r="Y257" s="72"/>
    </row>
    <row r="258" spans="1:39" ht="52.8">
      <c r="B258" s="69" t="s">
        <v>636</v>
      </c>
      <c r="C258" s="75" t="s">
        <v>36</v>
      </c>
      <c r="D258" s="67" t="s">
        <v>706</v>
      </c>
      <c r="E258" s="68" t="s">
        <v>707</v>
      </c>
      <c r="F258" s="68" t="s">
        <v>744</v>
      </c>
      <c r="G258" s="69"/>
      <c r="H258" s="75" t="s">
        <v>40</v>
      </c>
      <c r="I258" s="69">
        <v>100</v>
      </c>
      <c r="J258" s="68">
        <v>710000000</v>
      </c>
      <c r="K258" s="75" t="s">
        <v>41</v>
      </c>
      <c r="L258" s="68" t="s">
        <v>736</v>
      </c>
      <c r="M258" s="75" t="s">
        <v>42</v>
      </c>
      <c r="N258" s="68"/>
      <c r="O258" s="70" t="s">
        <v>745</v>
      </c>
      <c r="P258" s="20" t="s">
        <v>302</v>
      </c>
      <c r="Q258" s="69"/>
      <c r="R258" s="75" t="s">
        <v>607</v>
      </c>
      <c r="S258" s="95">
        <v>1</v>
      </c>
      <c r="T258" s="63">
        <f>7291200-(7291200*12/112)</f>
        <v>6510000</v>
      </c>
      <c r="U258" s="63">
        <v>0</v>
      </c>
      <c r="V258" s="64">
        <f>U258+(U258*12%)</f>
        <v>0</v>
      </c>
      <c r="W258" s="69"/>
      <c r="X258" s="71">
        <v>2018</v>
      </c>
      <c r="Y258" s="72" t="s">
        <v>751</v>
      </c>
    </row>
    <row r="259" spans="1:39" ht="52.8">
      <c r="B259" s="69" t="s">
        <v>803</v>
      </c>
      <c r="C259" s="75" t="s">
        <v>36</v>
      </c>
      <c r="D259" s="67" t="s">
        <v>706</v>
      </c>
      <c r="E259" s="68" t="s">
        <v>707</v>
      </c>
      <c r="F259" s="68" t="s">
        <v>744</v>
      </c>
      <c r="G259" s="69"/>
      <c r="H259" s="75" t="s">
        <v>40</v>
      </c>
      <c r="I259" s="69">
        <v>100</v>
      </c>
      <c r="J259" s="68">
        <v>710000000</v>
      </c>
      <c r="K259" s="75" t="s">
        <v>41</v>
      </c>
      <c r="L259" s="68" t="s">
        <v>736</v>
      </c>
      <c r="M259" s="75" t="s">
        <v>42</v>
      </c>
      <c r="N259" s="68"/>
      <c r="O259" s="70" t="s">
        <v>745</v>
      </c>
      <c r="P259" s="20" t="s">
        <v>302</v>
      </c>
      <c r="Q259" s="69"/>
      <c r="R259" s="75" t="s">
        <v>607</v>
      </c>
      <c r="S259" s="95">
        <v>1</v>
      </c>
      <c r="T259" s="63">
        <f>36131205.06-(36131205.06*12/112)</f>
        <v>32260004.517857146</v>
      </c>
      <c r="U259" s="63">
        <f t="shared" ref="U259" si="99">S259*T259</f>
        <v>32260004.517857146</v>
      </c>
      <c r="V259" s="64">
        <f>U259+(U259*12%)</f>
        <v>36131205.060000002</v>
      </c>
      <c r="W259" s="69"/>
      <c r="X259" s="71">
        <v>2018</v>
      </c>
      <c r="Y259" s="72"/>
    </row>
    <row r="260" spans="1:39" s="73" customFormat="1" ht="92.4">
      <c r="A260" s="65"/>
      <c r="B260" s="69" t="s">
        <v>640</v>
      </c>
      <c r="C260" s="75" t="s">
        <v>36</v>
      </c>
      <c r="D260" s="67" t="s">
        <v>747</v>
      </c>
      <c r="E260" s="68" t="s">
        <v>748</v>
      </c>
      <c r="F260" s="68" t="s">
        <v>749</v>
      </c>
      <c r="G260" s="69"/>
      <c r="H260" s="75" t="s">
        <v>40</v>
      </c>
      <c r="I260" s="69">
        <v>100</v>
      </c>
      <c r="J260" s="68">
        <v>710000000</v>
      </c>
      <c r="K260" s="75" t="s">
        <v>41</v>
      </c>
      <c r="L260" s="68" t="s">
        <v>750</v>
      </c>
      <c r="M260" s="75" t="s">
        <v>42</v>
      </c>
      <c r="N260" s="68"/>
      <c r="O260" s="76" t="s">
        <v>301</v>
      </c>
      <c r="P260" s="20" t="s">
        <v>302</v>
      </c>
      <c r="Q260" s="69"/>
      <c r="R260" s="75" t="s">
        <v>607</v>
      </c>
      <c r="S260" s="95">
        <v>1</v>
      </c>
      <c r="T260" s="63">
        <f>947800-(947800*12/112)</f>
        <v>846250</v>
      </c>
      <c r="U260" s="63">
        <f t="shared" ref="U260" si="100">S260*T260</f>
        <v>846250</v>
      </c>
      <c r="V260" s="64">
        <f>U260+(U260*12%)</f>
        <v>947800</v>
      </c>
      <c r="W260" s="69"/>
      <c r="X260" s="71">
        <v>2018</v>
      </c>
      <c r="Y260" s="72"/>
      <c r="Z260" s="104"/>
      <c r="AA260" s="104"/>
      <c r="AB260" s="104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</row>
    <row r="261" spans="1:39" ht="132">
      <c r="A261" s="3"/>
      <c r="B261" s="66" t="s">
        <v>644</v>
      </c>
      <c r="C261" s="66" t="s">
        <v>36</v>
      </c>
      <c r="D261" s="66" t="s">
        <v>604</v>
      </c>
      <c r="E261" s="68" t="s">
        <v>605</v>
      </c>
      <c r="F261" s="68" t="s">
        <v>645</v>
      </c>
      <c r="G261" s="68"/>
      <c r="H261" s="66" t="s">
        <v>40</v>
      </c>
      <c r="I261" s="66">
        <v>100</v>
      </c>
      <c r="J261" s="68">
        <v>710000000</v>
      </c>
      <c r="K261" s="66" t="s">
        <v>41</v>
      </c>
      <c r="L261" s="75" t="s">
        <v>386</v>
      </c>
      <c r="M261" s="66" t="s">
        <v>42</v>
      </c>
      <c r="N261" s="68"/>
      <c r="O261" s="76" t="s">
        <v>301</v>
      </c>
      <c r="P261" s="20" t="s">
        <v>302</v>
      </c>
      <c r="Q261" s="66"/>
      <c r="R261" s="66" t="s">
        <v>607</v>
      </c>
      <c r="S261" s="99">
        <v>1</v>
      </c>
      <c r="T261" s="63">
        <f>804300-(804300*12/112)</f>
        <v>718125</v>
      </c>
      <c r="U261" s="63">
        <f t="shared" ref="U261:U289" si="101">S261*T261</f>
        <v>718125</v>
      </c>
      <c r="V261" s="64">
        <f t="shared" ref="V261:V289" si="102">U261+(U261*12%)</f>
        <v>804300</v>
      </c>
      <c r="W261" s="71"/>
      <c r="X261" s="71">
        <v>2018</v>
      </c>
      <c r="Y261" s="72"/>
      <c r="Z261" s="102"/>
      <c r="AA261" s="102"/>
      <c r="AB261" s="10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198">
      <c r="A262" s="3"/>
      <c r="B262" s="66" t="s">
        <v>646</v>
      </c>
      <c r="C262" s="66" t="s">
        <v>36</v>
      </c>
      <c r="D262" s="66" t="s">
        <v>608</v>
      </c>
      <c r="E262" s="66" t="s">
        <v>609</v>
      </c>
      <c r="F262" s="66" t="s">
        <v>647</v>
      </c>
      <c r="G262" s="66"/>
      <c r="H262" s="66" t="s">
        <v>40</v>
      </c>
      <c r="I262" s="66">
        <v>100</v>
      </c>
      <c r="J262" s="68">
        <v>710000000</v>
      </c>
      <c r="K262" s="66" t="s">
        <v>41</v>
      </c>
      <c r="L262" s="75" t="s">
        <v>386</v>
      </c>
      <c r="M262" s="66" t="s">
        <v>42</v>
      </c>
      <c r="N262" s="68"/>
      <c r="O262" s="76" t="s">
        <v>301</v>
      </c>
      <c r="P262" s="66" t="s">
        <v>648</v>
      </c>
      <c r="Q262" s="66"/>
      <c r="R262" s="66" t="s">
        <v>607</v>
      </c>
      <c r="S262" s="99">
        <v>1</v>
      </c>
      <c r="T262" s="63">
        <f>819000-(819000*12/112)</f>
        <v>731250</v>
      </c>
      <c r="U262" s="63">
        <f t="shared" si="101"/>
        <v>731250</v>
      </c>
      <c r="V262" s="64">
        <f t="shared" si="102"/>
        <v>819000</v>
      </c>
      <c r="W262" s="71"/>
      <c r="X262" s="71">
        <v>2018</v>
      </c>
      <c r="Y262" s="72"/>
      <c r="Z262" s="102"/>
      <c r="AA262" s="102"/>
      <c r="AB262" s="10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52.8">
      <c r="A263" s="3"/>
      <c r="B263" s="66" t="s">
        <v>649</v>
      </c>
      <c r="C263" s="66" t="s">
        <v>36</v>
      </c>
      <c r="D263" s="74" t="s">
        <v>610</v>
      </c>
      <c r="E263" s="66" t="s">
        <v>823</v>
      </c>
      <c r="F263" s="74" t="s">
        <v>814</v>
      </c>
      <c r="G263" s="90"/>
      <c r="H263" s="75" t="s">
        <v>442</v>
      </c>
      <c r="I263" s="69">
        <v>100</v>
      </c>
      <c r="J263" s="68">
        <v>710000000</v>
      </c>
      <c r="K263" s="75" t="s">
        <v>41</v>
      </c>
      <c r="L263" s="75" t="s">
        <v>300</v>
      </c>
      <c r="M263" s="75" t="s">
        <v>42</v>
      </c>
      <c r="N263" s="68"/>
      <c r="O263" s="76" t="s">
        <v>301</v>
      </c>
      <c r="P263" s="20" t="s">
        <v>302</v>
      </c>
      <c r="Q263" s="66"/>
      <c r="R263" s="75" t="s">
        <v>607</v>
      </c>
      <c r="S263" s="95">
        <v>1</v>
      </c>
      <c r="T263" s="63">
        <f>7560000-(7560000*12/112)</f>
        <v>6750000</v>
      </c>
      <c r="U263" s="63">
        <f t="shared" si="101"/>
        <v>6750000</v>
      </c>
      <c r="V263" s="64">
        <f t="shared" si="102"/>
        <v>7560000</v>
      </c>
      <c r="W263" s="69"/>
      <c r="X263" s="71">
        <v>2018</v>
      </c>
      <c r="Y263" s="72"/>
      <c r="Z263" s="102"/>
      <c r="AA263" s="102"/>
      <c r="AB263" s="10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66">
      <c r="A264" s="3"/>
      <c r="B264" s="66" t="s">
        <v>650</v>
      </c>
      <c r="C264" s="66" t="s">
        <v>36</v>
      </c>
      <c r="D264" s="74" t="s">
        <v>610</v>
      </c>
      <c r="E264" s="66" t="s">
        <v>823</v>
      </c>
      <c r="F264" s="74" t="s">
        <v>814</v>
      </c>
      <c r="G264" s="90"/>
      <c r="H264" s="75" t="s">
        <v>40</v>
      </c>
      <c r="I264" s="69">
        <v>100</v>
      </c>
      <c r="J264" s="68">
        <v>710000000</v>
      </c>
      <c r="K264" s="75" t="s">
        <v>41</v>
      </c>
      <c r="L264" s="75" t="s">
        <v>300</v>
      </c>
      <c r="M264" s="75" t="s">
        <v>42</v>
      </c>
      <c r="N264" s="68"/>
      <c r="O264" s="76" t="s">
        <v>816</v>
      </c>
      <c r="P264" s="20" t="s">
        <v>302</v>
      </c>
      <c r="Q264" s="66"/>
      <c r="R264" s="75" t="s">
        <v>607</v>
      </c>
      <c r="S264" s="95">
        <v>1</v>
      </c>
      <c r="T264" s="63">
        <f>3240000-(3240000*12/112)</f>
        <v>2892857.1428571427</v>
      </c>
      <c r="U264" s="63">
        <f t="shared" ref="U264" si="103">S264*T264</f>
        <v>2892857.1428571427</v>
      </c>
      <c r="V264" s="64">
        <f t="shared" ref="V264" si="104">U264+(U264*12%)</f>
        <v>3240000</v>
      </c>
      <c r="W264" s="69"/>
      <c r="X264" s="71">
        <v>2018</v>
      </c>
      <c r="Y264" s="72"/>
      <c r="Z264" s="102"/>
      <c r="AA264" s="102"/>
      <c r="AB264" s="10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52.8">
      <c r="A265" s="3"/>
      <c r="B265" s="66" t="s">
        <v>652</v>
      </c>
      <c r="C265" s="86" t="s">
        <v>36</v>
      </c>
      <c r="D265" s="87" t="s">
        <v>610</v>
      </c>
      <c r="E265" s="66" t="s">
        <v>823</v>
      </c>
      <c r="F265" s="66" t="s">
        <v>815</v>
      </c>
      <c r="G265" s="69"/>
      <c r="H265" s="75" t="s">
        <v>442</v>
      </c>
      <c r="I265" s="69">
        <v>100</v>
      </c>
      <c r="J265" s="68">
        <v>710000000</v>
      </c>
      <c r="K265" s="75" t="s">
        <v>41</v>
      </c>
      <c r="L265" s="75" t="s">
        <v>300</v>
      </c>
      <c r="M265" s="75" t="s">
        <v>42</v>
      </c>
      <c r="N265" s="68"/>
      <c r="O265" s="76" t="s">
        <v>301</v>
      </c>
      <c r="P265" s="20" t="s">
        <v>302</v>
      </c>
      <c r="Q265" s="66"/>
      <c r="R265" s="75" t="s">
        <v>607</v>
      </c>
      <c r="S265" s="95">
        <v>1</v>
      </c>
      <c r="T265" s="63">
        <f>3360000-(3360000*12/112)</f>
        <v>3000000</v>
      </c>
      <c r="U265" s="63">
        <f t="shared" si="101"/>
        <v>3000000</v>
      </c>
      <c r="V265" s="64">
        <f t="shared" si="102"/>
        <v>3360000</v>
      </c>
      <c r="W265" s="69"/>
      <c r="X265" s="71">
        <v>2018</v>
      </c>
      <c r="Y265" s="72"/>
      <c r="Z265" s="102"/>
      <c r="AA265" s="102"/>
      <c r="AB265" s="10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66">
      <c r="A266" s="3"/>
      <c r="B266" s="66" t="s">
        <v>653</v>
      </c>
      <c r="C266" s="75" t="s">
        <v>36</v>
      </c>
      <c r="D266" s="87" t="s">
        <v>610</v>
      </c>
      <c r="E266" s="66" t="s">
        <v>823</v>
      </c>
      <c r="F266" s="66" t="s">
        <v>815</v>
      </c>
      <c r="G266" s="69"/>
      <c r="H266" s="75" t="s">
        <v>40</v>
      </c>
      <c r="I266" s="69">
        <v>100</v>
      </c>
      <c r="J266" s="68">
        <v>710000000</v>
      </c>
      <c r="K266" s="75" t="s">
        <v>41</v>
      </c>
      <c r="L266" s="75" t="s">
        <v>300</v>
      </c>
      <c r="M266" s="75" t="s">
        <v>42</v>
      </c>
      <c r="N266" s="68"/>
      <c r="O266" s="76" t="s">
        <v>816</v>
      </c>
      <c r="P266" s="20" t="s">
        <v>302</v>
      </c>
      <c r="Q266" s="66"/>
      <c r="R266" s="75" t="s">
        <v>607</v>
      </c>
      <c r="S266" s="95">
        <v>1</v>
      </c>
      <c r="T266" s="63">
        <f>1440000-(1440000*12/112)</f>
        <v>1285714.2857142857</v>
      </c>
      <c r="U266" s="63">
        <f t="shared" ref="U266" si="105">S266*T266</f>
        <v>1285714.2857142857</v>
      </c>
      <c r="V266" s="64">
        <f t="shared" ref="V266" si="106">U266+(U266*12%)</f>
        <v>1440000</v>
      </c>
      <c r="W266" s="69"/>
      <c r="X266" s="71">
        <v>2018</v>
      </c>
      <c r="Y266" s="72"/>
      <c r="Z266" s="102"/>
      <c r="AA266" s="102"/>
      <c r="AB266" s="10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52.8">
      <c r="A267" s="3"/>
      <c r="B267" s="66" t="s">
        <v>656</v>
      </c>
      <c r="C267" s="86" t="s">
        <v>36</v>
      </c>
      <c r="D267" s="87" t="s">
        <v>610</v>
      </c>
      <c r="E267" s="66" t="s">
        <v>823</v>
      </c>
      <c r="F267" s="74" t="s">
        <v>651</v>
      </c>
      <c r="G267" s="69"/>
      <c r="H267" s="75" t="s">
        <v>442</v>
      </c>
      <c r="I267" s="69">
        <v>100</v>
      </c>
      <c r="J267" s="68">
        <v>710000000</v>
      </c>
      <c r="K267" s="75" t="s">
        <v>41</v>
      </c>
      <c r="L267" s="75" t="s">
        <v>386</v>
      </c>
      <c r="M267" s="75" t="s">
        <v>42</v>
      </c>
      <c r="N267" s="68"/>
      <c r="O267" s="76" t="s">
        <v>301</v>
      </c>
      <c r="P267" s="20" t="s">
        <v>302</v>
      </c>
      <c r="Q267" s="66"/>
      <c r="R267" s="75" t="s">
        <v>607</v>
      </c>
      <c r="S267" s="95">
        <v>1</v>
      </c>
      <c r="T267" s="63">
        <f>4800000-(4800000*12/112)</f>
        <v>4285714.2857142854</v>
      </c>
      <c r="U267" s="63">
        <f t="shared" si="101"/>
        <v>4285714.2857142854</v>
      </c>
      <c r="V267" s="64">
        <f t="shared" si="102"/>
        <v>4800000</v>
      </c>
      <c r="W267" s="69"/>
      <c r="X267" s="71">
        <v>2018</v>
      </c>
      <c r="Y267" s="72"/>
      <c r="Z267" s="102"/>
      <c r="AA267" s="102"/>
      <c r="AB267" s="10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79.2">
      <c r="A268" s="3"/>
      <c r="B268" s="66" t="s">
        <v>658</v>
      </c>
      <c r="C268" s="75" t="s">
        <v>36</v>
      </c>
      <c r="D268" s="75" t="s">
        <v>615</v>
      </c>
      <c r="E268" s="68" t="s">
        <v>654</v>
      </c>
      <c r="F268" s="68" t="s">
        <v>655</v>
      </c>
      <c r="G268" s="68"/>
      <c r="H268" s="75" t="s">
        <v>593</v>
      </c>
      <c r="I268" s="69">
        <v>100</v>
      </c>
      <c r="J268" s="68">
        <v>710000000</v>
      </c>
      <c r="K268" s="75" t="s">
        <v>41</v>
      </c>
      <c r="L268" s="75" t="s">
        <v>386</v>
      </c>
      <c r="M268" s="75" t="s">
        <v>42</v>
      </c>
      <c r="N268" s="68"/>
      <c r="O268" s="76" t="s">
        <v>301</v>
      </c>
      <c r="P268" s="20" t="s">
        <v>302</v>
      </c>
      <c r="Q268" s="66"/>
      <c r="R268" s="75" t="s">
        <v>607</v>
      </c>
      <c r="S268" s="95">
        <v>1</v>
      </c>
      <c r="T268" s="63">
        <f>150000-(150000*12/112)</f>
        <v>133928.57142857142</v>
      </c>
      <c r="U268" s="63">
        <f t="shared" si="101"/>
        <v>133928.57142857142</v>
      </c>
      <c r="V268" s="64">
        <f t="shared" si="102"/>
        <v>150000</v>
      </c>
      <c r="W268" s="77"/>
      <c r="X268" s="71">
        <v>2018</v>
      </c>
      <c r="Y268" s="72"/>
      <c r="Z268" s="102"/>
      <c r="AA268" s="102"/>
      <c r="AB268" s="10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79.2">
      <c r="A269" s="3"/>
      <c r="B269" s="66" t="s">
        <v>660</v>
      </c>
      <c r="C269" s="75" t="s">
        <v>36</v>
      </c>
      <c r="D269" s="75" t="s">
        <v>615</v>
      </c>
      <c r="E269" s="68" t="s">
        <v>654</v>
      </c>
      <c r="F269" s="68" t="s">
        <v>657</v>
      </c>
      <c r="G269" s="68"/>
      <c r="H269" s="75" t="s">
        <v>593</v>
      </c>
      <c r="I269" s="69">
        <v>100</v>
      </c>
      <c r="J269" s="68">
        <v>710000000</v>
      </c>
      <c r="K269" s="75" t="s">
        <v>41</v>
      </c>
      <c r="L269" s="75" t="s">
        <v>386</v>
      </c>
      <c r="M269" s="75" t="s">
        <v>42</v>
      </c>
      <c r="N269" s="68"/>
      <c r="O269" s="76" t="s">
        <v>301</v>
      </c>
      <c r="P269" s="20" t="s">
        <v>302</v>
      </c>
      <c r="Q269" s="66"/>
      <c r="R269" s="75" t="s">
        <v>607</v>
      </c>
      <c r="S269" s="95">
        <v>1</v>
      </c>
      <c r="T269" s="63">
        <f>5000000-(5000000*12/112)</f>
        <v>4464285.7142857146</v>
      </c>
      <c r="U269" s="63">
        <f t="shared" si="101"/>
        <v>4464285.7142857146</v>
      </c>
      <c r="V269" s="64">
        <f t="shared" si="102"/>
        <v>5000000</v>
      </c>
      <c r="W269" s="77"/>
      <c r="X269" s="71">
        <v>2018</v>
      </c>
      <c r="Y269" s="72"/>
      <c r="Z269" s="102"/>
      <c r="AA269" s="102"/>
      <c r="AB269" s="10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79.2">
      <c r="A270" s="3"/>
      <c r="B270" s="66" t="s">
        <v>662</v>
      </c>
      <c r="C270" s="75" t="s">
        <v>36</v>
      </c>
      <c r="D270" s="75" t="s">
        <v>615</v>
      </c>
      <c r="E270" s="68" t="s">
        <v>654</v>
      </c>
      <c r="F270" s="68" t="s">
        <v>659</v>
      </c>
      <c r="G270" s="68"/>
      <c r="H270" s="75" t="s">
        <v>593</v>
      </c>
      <c r="I270" s="69">
        <v>100</v>
      </c>
      <c r="J270" s="68">
        <v>710000000</v>
      </c>
      <c r="K270" s="75" t="s">
        <v>41</v>
      </c>
      <c r="L270" s="75" t="s">
        <v>386</v>
      </c>
      <c r="M270" s="75" t="s">
        <v>42</v>
      </c>
      <c r="N270" s="68"/>
      <c r="O270" s="76" t="s">
        <v>301</v>
      </c>
      <c r="P270" s="20" t="s">
        <v>302</v>
      </c>
      <c r="Q270" s="66"/>
      <c r="R270" s="75" t="s">
        <v>607</v>
      </c>
      <c r="S270" s="95">
        <v>1</v>
      </c>
      <c r="T270" s="63">
        <f>991500-(991500*12/112)</f>
        <v>885267.85714285716</v>
      </c>
      <c r="U270" s="63">
        <f t="shared" si="101"/>
        <v>885267.85714285716</v>
      </c>
      <c r="V270" s="64">
        <f>U270+(U270*12%)</f>
        <v>991500</v>
      </c>
      <c r="W270" s="77"/>
      <c r="X270" s="71">
        <v>2018</v>
      </c>
      <c r="Y270" s="72"/>
      <c r="Z270" s="102"/>
      <c r="AA270" s="102"/>
      <c r="AB270" s="10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79.2">
      <c r="A271" s="3"/>
      <c r="B271" s="66" t="s">
        <v>664</v>
      </c>
      <c r="C271" s="75" t="s">
        <v>36</v>
      </c>
      <c r="D271" s="75" t="s">
        <v>615</v>
      </c>
      <c r="E271" s="68" t="s">
        <v>654</v>
      </c>
      <c r="F271" s="68" t="s">
        <v>661</v>
      </c>
      <c r="G271" s="68"/>
      <c r="H271" s="75" t="s">
        <v>593</v>
      </c>
      <c r="I271" s="69">
        <v>100</v>
      </c>
      <c r="J271" s="68">
        <v>710000000</v>
      </c>
      <c r="K271" s="75" t="s">
        <v>41</v>
      </c>
      <c r="L271" s="75" t="s">
        <v>386</v>
      </c>
      <c r="M271" s="75" t="s">
        <v>42</v>
      </c>
      <c r="N271" s="68"/>
      <c r="O271" s="76" t="s">
        <v>301</v>
      </c>
      <c r="P271" s="20" t="s">
        <v>302</v>
      </c>
      <c r="Q271" s="66"/>
      <c r="R271" s="75" t="s">
        <v>607</v>
      </c>
      <c r="S271" s="95">
        <v>1</v>
      </c>
      <c r="T271" s="63">
        <f>155000-(155000*12/112)</f>
        <v>138392.85714285713</v>
      </c>
      <c r="U271" s="63">
        <f t="shared" si="101"/>
        <v>138392.85714285713</v>
      </c>
      <c r="V271" s="64">
        <f t="shared" si="102"/>
        <v>155000</v>
      </c>
      <c r="W271" s="77"/>
      <c r="X271" s="71">
        <v>2018</v>
      </c>
      <c r="Y271" s="72"/>
      <c r="Z271" s="102"/>
      <c r="AA271" s="102"/>
      <c r="AB271" s="10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79.2">
      <c r="A272" s="3"/>
      <c r="B272" s="66" t="s">
        <v>667</v>
      </c>
      <c r="C272" s="75" t="s">
        <v>36</v>
      </c>
      <c r="D272" s="75" t="s">
        <v>615</v>
      </c>
      <c r="E272" s="68" t="s">
        <v>654</v>
      </c>
      <c r="F272" s="68" t="s">
        <v>663</v>
      </c>
      <c r="G272" s="77"/>
      <c r="H272" s="75" t="s">
        <v>593</v>
      </c>
      <c r="I272" s="69">
        <v>100</v>
      </c>
      <c r="J272" s="68">
        <v>710000000</v>
      </c>
      <c r="K272" s="75" t="s">
        <v>41</v>
      </c>
      <c r="L272" s="75" t="s">
        <v>386</v>
      </c>
      <c r="M272" s="75" t="s">
        <v>42</v>
      </c>
      <c r="N272" s="68"/>
      <c r="O272" s="76" t="s">
        <v>301</v>
      </c>
      <c r="P272" s="20" t="s">
        <v>302</v>
      </c>
      <c r="Q272" s="66"/>
      <c r="R272" s="75" t="s">
        <v>607</v>
      </c>
      <c r="S272" s="95">
        <v>1</v>
      </c>
      <c r="T272" s="63">
        <f>520000-(520000*12/112)</f>
        <v>464285.71428571426</v>
      </c>
      <c r="U272" s="63">
        <f t="shared" si="101"/>
        <v>464285.71428571426</v>
      </c>
      <c r="V272" s="64">
        <f t="shared" si="102"/>
        <v>520000</v>
      </c>
      <c r="W272" s="77"/>
      <c r="X272" s="71">
        <v>2018</v>
      </c>
      <c r="Y272" s="72"/>
      <c r="Z272" s="102"/>
      <c r="AA272" s="102"/>
      <c r="AB272" s="10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105.6">
      <c r="A273" s="3"/>
      <c r="B273" s="66" t="s">
        <v>671</v>
      </c>
      <c r="C273" s="75" t="s">
        <v>36</v>
      </c>
      <c r="D273" s="75" t="s">
        <v>619</v>
      </c>
      <c r="E273" s="68" t="s">
        <v>665</v>
      </c>
      <c r="F273" s="68" t="s">
        <v>666</v>
      </c>
      <c r="G273" s="68"/>
      <c r="H273" s="75" t="s">
        <v>593</v>
      </c>
      <c r="I273" s="69">
        <v>100</v>
      </c>
      <c r="J273" s="68">
        <v>710000000</v>
      </c>
      <c r="K273" s="75" t="s">
        <v>41</v>
      </c>
      <c r="L273" s="75" t="s">
        <v>386</v>
      </c>
      <c r="M273" s="75" t="s">
        <v>42</v>
      </c>
      <c r="N273" s="68"/>
      <c r="O273" s="76" t="s">
        <v>301</v>
      </c>
      <c r="P273" s="20" t="s">
        <v>302</v>
      </c>
      <c r="Q273" s="66"/>
      <c r="R273" s="75" t="s">
        <v>607</v>
      </c>
      <c r="S273" s="95">
        <v>1</v>
      </c>
      <c r="T273" s="63">
        <f>932880-(932880*12/112)</f>
        <v>832928.57142857148</v>
      </c>
      <c r="U273" s="63">
        <f t="shared" si="101"/>
        <v>832928.57142857148</v>
      </c>
      <c r="V273" s="64">
        <f>U273+(U273*12%)</f>
        <v>932880</v>
      </c>
      <c r="W273" s="77"/>
      <c r="X273" s="71">
        <v>2018</v>
      </c>
      <c r="Y273" s="72"/>
      <c r="Z273" s="102"/>
      <c r="AA273" s="102"/>
      <c r="AB273" s="10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52.8">
      <c r="A274" s="3"/>
      <c r="B274" s="66" t="s">
        <v>675</v>
      </c>
      <c r="C274" s="75" t="s">
        <v>36</v>
      </c>
      <c r="D274" s="74" t="s">
        <v>623</v>
      </c>
      <c r="E274" s="68" t="s">
        <v>668</v>
      </c>
      <c r="F274" s="68" t="s">
        <v>669</v>
      </c>
      <c r="G274" s="77"/>
      <c r="H274" s="75" t="s">
        <v>40</v>
      </c>
      <c r="I274" s="69">
        <v>100</v>
      </c>
      <c r="J274" s="68">
        <v>710000000</v>
      </c>
      <c r="K274" s="75" t="s">
        <v>41</v>
      </c>
      <c r="L274" s="75" t="s">
        <v>670</v>
      </c>
      <c r="M274" s="75" t="s">
        <v>42</v>
      </c>
      <c r="N274" s="68"/>
      <c r="O274" s="76" t="s">
        <v>301</v>
      </c>
      <c r="P274" s="20" t="s">
        <v>302</v>
      </c>
      <c r="Q274" s="66"/>
      <c r="R274" s="75" t="s">
        <v>607</v>
      </c>
      <c r="S274" s="95">
        <v>1</v>
      </c>
      <c r="T274" s="63">
        <f>43000-(43000*12/112)</f>
        <v>38392.857142857145</v>
      </c>
      <c r="U274" s="63">
        <f t="shared" si="101"/>
        <v>38392.857142857145</v>
      </c>
      <c r="V274" s="64">
        <f t="shared" si="102"/>
        <v>43000</v>
      </c>
      <c r="W274" s="77"/>
      <c r="X274" s="71">
        <v>2018</v>
      </c>
      <c r="Y274" s="72"/>
      <c r="Z274" s="102"/>
      <c r="AA274" s="102"/>
      <c r="AB274" s="10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66">
      <c r="A275" s="3"/>
      <c r="B275" s="66" t="s">
        <v>677</v>
      </c>
      <c r="C275" s="75" t="s">
        <v>36</v>
      </c>
      <c r="D275" s="74" t="s">
        <v>672</v>
      </c>
      <c r="E275" s="68" t="s">
        <v>673</v>
      </c>
      <c r="F275" s="68" t="s">
        <v>674</v>
      </c>
      <c r="G275" s="77"/>
      <c r="H275" s="75" t="s">
        <v>40</v>
      </c>
      <c r="I275" s="69">
        <v>100</v>
      </c>
      <c r="J275" s="68">
        <v>710000000</v>
      </c>
      <c r="K275" s="75" t="s">
        <v>41</v>
      </c>
      <c r="L275" s="75" t="s">
        <v>386</v>
      </c>
      <c r="M275" s="75" t="s">
        <v>42</v>
      </c>
      <c r="N275" s="68"/>
      <c r="O275" s="76" t="s">
        <v>301</v>
      </c>
      <c r="P275" s="20" t="s">
        <v>302</v>
      </c>
      <c r="Q275" s="66"/>
      <c r="R275" s="75" t="s">
        <v>607</v>
      </c>
      <c r="S275" s="95">
        <v>1</v>
      </c>
      <c r="T275" s="63">
        <f>100000-(100000*12/112)</f>
        <v>89285.71428571429</v>
      </c>
      <c r="U275" s="63">
        <f t="shared" si="101"/>
        <v>89285.71428571429</v>
      </c>
      <c r="V275" s="64">
        <f t="shared" si="102"/>
        <v>100000</v>
      </c>
      <c r="W275" s="77"/>
      <c r="X275" s="71">
        <v>2018</v>
      </c>
      <c r="Y275" s="72"/>
      <c r="Z275" s="102"/>
      <c r="AA275" s="102"/>
      <c r="AB275" s="10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52.8">
      <c r="A276" s="3"/>
      <c r="B276" s="66" t="s">
        <v>679</v>
      </c>
      <c r="C276" s="75" t="s">
        <v>36</v>
      </c>
      <c r="D276" s="74" t="s">
        <v>595</v>
      </c>
      <c r="E276" s="75" t="s">
        <v>596</v>
      </c>
      <c r="F276" s="75" t="s">
        <v>676</v>
      </c>
      <c r="G276" s="75"/>
      <c r="H276" s="75" t="s">
        <v>593</v>
      </c>
      <c r="I276" s="69">
        <v>100</v>
      </c>
      <c r="J276" s="68">
        <v>710000000</v>
      </c>
      <c r="K276" s="75" t="s">
        <v>41</v>
      </c>
      <c r="L276" s="75" t="s">
        <v>386</v>
      </c>
      <c r="M276" s="75" t="s">
        <v>42</v>
      </c>
      <c r="N276" s="68"/>
      <c r="O276" s="76" t="s">
        <v>301</v>
      </c>
      <c r="P276" s="20" t="s">
        <v>302</v>
      </c>
      <c r="Q276" s="66"/>
      <c r="R276" s="75" t="s">
        <v>607</v>
      </c>
      <c r="S276" s="95">
        <v>1</v>
      </c>
      <c r="T276" s="63">
        <f>129000-(129000*12/112)</f>
        <v>115178.57142857143</v>
      </c>
      <c r="U276" s="63">
        <f t="shared" si="101"/>
        <v>115178.57142857143</v>
      </c>
      <c r="V276" s="64">
        <f>U276+(U276*12%)</f>
        <v>129000</v>
      </c>
      <c r="W276" s="77"/>
      <c r="X276" s="71">
        <v>2018</v>
      </c>
      <c r="Y276" s="72"/>
      <c r="Z276" s="102"/>
      <c r="AA276" s="102"/>
      <c r="AB276" s="10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52.8">
      <c r="A277" s="3"/>
      <c r="B277" s="66" t="s">
        <v>682</v>
      </c>
      <c r="C277" s="75" t="s">
        <v>36</v>
      </c>
      <c r="D277" s="68" t="s">
        <v>637</v>
      </c>
      <c r="E277" s="68" t="s">
        <v>638</v>
      </c>
      <c r="F277" s="68" t="s">
        <v>678</v>
      </c>
      <c r="G277" s="77"/>
      <c r="H277" s="75" t="s">
        <v>593</v>
      </c>
      <c r="I277" s="69">
        <v>100</v>
      </c>
      <c r="J277" s="68">
        <v>710000000</v>
      </c>
      <c r="K277" s="75" t="s">
        <v>41</v>
      </c>
      <c r="L277" s="75" t="s">
        <v>386</v>
      </c>
      <c r="M277" s="75" t="s">
        <v>42</v>
      </c>
      <c r="N277" s="68"/>
      <c r="O277" s="76" t="s">
        <v>301</v>
      </c>
      <c r="P277" s="20" t="s">
        <v>302</v>
      </c>
      <c r="Q277" s="66"/>
      <c r="R277" s="75" t="s">
        <v>607</v>
      </c>
      <c r="S277" s="95">
        <v>1</v>
      </c>
      <c r="T277" s="63">
        <f>1780000-(1780000*12/112)</f>
        <v>1589285.7142857143</v>
      </c>
      <c r="U277" s="63">
        <f t="shared" si="101"/>
        <v>1589285.7142857143</v>
      </c>
      <c r="V277" s="64">
        <f t="shared" si="102"/>
        <v>1780000</v>
      </c>
      <c r="W277" s="77"/>
      <c r="X277" s="71">
        <v>2018</v>
      </c>
      <c r="Y277" s="72"/>
      <c r="Z277" s="102"/>
      <c r="AA277" s="102"/>
      <c r="AB277" s="10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52.8">
      <c r="A278" s="3"/>
      <c r="B278" s="66" t="s">
        <v>687</v>
      </c>
      <c r="C278" s="75" t="s">
        <v>36</v>
      </c>
      <c r="D278" s="88" t="s">
        <v>641</v>
      </c>
      <c r="E278" s="68" t="s">
        <v>680</v>
      </c>
      <c r="F278" s="68" t="s">
        <v>681</v>
      </c>
      <c r="G278" s="69"/>
      <c r="H278" s="75" t="s">
        <v>40</v>
      </c>
      <c r="I278" s="69">
        <v>100</v>
      </c>
      <c r="J278" s="68">
        <v>710000000</v>
      </c>
      <c r="K278" s="75" t="s">
        <v>41</v>
      </c>
      <c r="L278" s="75" t="s">
        <v>386</v>
      </c>
      <c r="M278" s="75" t="s">
        <v>42</v>
      </c>
      <c r="N278" s="68"/>
      <c r="O278" s="76" t="s">
        <v>301</v>
      </c>
      <c r="P278" s="20" t="s">
        <v>302</v>
      </c>
      <c r="Q278" s="66"/>
      <c r="R278" s="75" t="s">
        <v>607</v>
      </c>
      <c r="S278" s="95">
        <v>1</v>
      </c>
      <c r="T278" s="63">
        <f>150000-(150000*12/112)</f>
        <v>133928.57142857142</v>
      </c>
      <c r="U278" s="63">
        <f t="shared" si="101"/>
        <v>133928.57142857142</v>
      </c>
      <c r="V278" s="64">
        <f t="shared" si="102"/>
        <v>150000</v>
      </c>
      <c r="W278" s="69"/>
      <c r="X278" s="71">
        <v>2018</v>
      </c>
      <c r="Y278" s="72"/>
      <c r="Z278" s="102"/>
      <c r="AA278" s="102"/>
      <c r="AB278" s="10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52.8">
      <c r="A279" s="3"/>
      <c r="B279" s="66" t="s">
        <v>691</v>
      </c>
      <c r="C279" s="75" t="s">
        <v>36</v>
      </c>
      <c r="D279" s="88" t="s">
        <v>683</v>
      </c>
      <c r="E279" s="68" t="s">
        <v>684</v>
      </c>
      <c r="F279" s="68" t="s">
        <v>685</v>
      </c>
      <c r="G279" s="69"/>
      <c r="H279" s="75" t="s">
        <v>40</v>
      </c>
      <c r="I279" s="69">
        <v>100</v>
      </c>
      <c r="J279" s="68">
        <v>710000000</v>
      </c>
      <c r="K279" s="75" t="s">
        <v>41</v>
      </c>
      <c r="L279" s="75" t="s">
        <v>386</v>
      </c>
      <c r="M279" s="75" t="s">
        <v>42</v>
      </c>
      <c r="N279" s="68"/>
      <c r="O279" s="76" t="s">
        <v>686</v>
      </c>
      <c r="P279" s="20" t="s">
        <v>302</v>
      </c>
      <c r="Q279" s="66"/>
      <c r="R279" s="75" t="s">
        <v>607</v>
      </c>
      <c r="S279" s="95">
        <v>1</v>
      </c>
      <c r="T279" s="63">
        <f>108333-(108333*12/112)</f>
        <v>96725.892857142855</v>
      </c>
      <c r="U279" s="63">
        <f t="shared" si="101"/>
        <v>96725.892857142855</v>
      </c>
      <c r="V279" s="64">
        <f t="shared" si="102"/>
        <v>108333</v>
      </c>
      <c r="W279" s="69"/>
      <c r="X279" s="71">
        <v>2018</v>
      </c>
      <c r="Y279" s="72"/>
      <c r="Z279" s="102"/>
      <c r="AA279" s="102"/>
      <c r="AB279" s="10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66">
      <c r="A280" s="3"/>
      <c r="B280" s="66" t="s">
        <v>693</v>
      </c>
      <c r="C280" s="75" t="s">
        <v>36</v>
      </c>
      <c r="D280" s="88" t="s">
        <v>688</v>
      </c>
      <c r="E280" s="68" t="s">
        <v>689</v>
      </c>
      <c r="F280" s="68" t="s">
        <v>690</v>
      </c>
      <c r="G280" s="69"/>
      <c r="H280" s="75" t="s">
        <v>40</v>
      </c>
      <c r="I280" s="69">
        <v>100</v>
      </c>
      <c r="J280" s="68">
        <v>710000000</v>
      </c>
      <c r="K280" s="75" t="s">
        <v>41</v>
      </c>
      <c r="L280" s="75" t="s">
        <v>670</v>
      </c>
      <c r="M280" s="75" t="s">
        <v>42</v>
      </c>
      <c r="N280" s="68"/>
      <c r="O280" s="76" t="s">
        <v>743</v>
      </c>
      <c r="P280" s="20" t="s">
        <v>302</v>
      </c>
      <c r="Q280" s="66"/>
      <c r="R280" s="75" t="s">
        <v>607</v>
      </c>
      <c r="S280" s="95">
        <v>1</v>
      </c>
      <c r="T280" s="63">
        <f>63337-(63337*12/112)</f>
        <v>56550.892857142855</v>
      </c>
      <c r="U280" s="63">
        <f t="shared" si="101"/>
        <v>56550.892857142855</v>
      </c>
      <c r="V280" s="64">
        <f t="shared" si="102"/>
        <v>63337</v>
      </c>
      <c r="W280" s="69"/>
      <c r="X280" s="71">
        <v>2018</v>
      </c>
      <c r="Y280" s="72"/>
      <c r="Z280" s="102"/>
      <c r="AA280" s="102"/>
      <c r="AB280" s="10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79.2">
      <c r="A281" s="3"/>
      <c r="B281" s="66" t="s">
        <v>697</v>
      </c>
      <c r="C281" s="75" t="s">
        <v>36</v>
      </c>
      <c r="D281" s="89" t="s">
        <v>820</v>
      </c>
      <c r="E281" s="68" t="s">
        <v>821</v>
      </c>
      <c r="F281" s="68" t="s">
        <v>692</v>
      </c>
      <c r="G281" s="69"/>
      <c r="H281" s="75" t="s">
        <v>40</v>
      </c>
      <c r="I281" s="69">
        <v>100</v>
      </c>
      <c r="J281" s="68">
        <v>710000000</v>
      </c>
      <c r="K281" s="75" t="s">
        <v>41</v>
      </c>
      <c r="L281" s="75" t="s">
        <v>386</v>
      </c>
      <c r="M281" s="75" t="s">
        <v>42</v>
      </c>
      <c r="N281" s="68"/>
      <c r="O281" s="76" t="s">
        <v>301</v>
      </c>
      <c r="P281" s="66" t="s">
        <v>648</v>
      </c>
      <c r="Q281" s="66"/>
      <c r="R281" s="75" t="s">
        <v>607</v>
      </c>
      <c r="S281" s="95">
        <v>1</v>
      </c>
      <c r="T281" s="63">
        <f>985000-(985000*12/112)</f>
        <v>879464.28571428568</v>
      </c>
      <c r="U281" s="63">
        <f t="shared" si="101"/>
        <v>879464.28571428568</v>
      </c>
      <c r="V281" s="64">
        <f t="shared" si="102"/>
        <v>985000</v>
      </c>
      <c r="W281" s="69"/>
      <c r="X281" s="71">
        <v>2018</v>
      </c>
      <c r="Y281" s="72"/>
      <c r="Z281" s="102"/>
      <c r="AA281" s="102"/>
      <c r="AB281" s="10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66">
      <c r="A282" s="3"/>
      <c r="B282" s="66" t="s">
        <v>701</v>
      </c>
      <c r="C282" s="75" t="s">
        <v>36</v>
      </c>
      <c r="D282" s="89" t="s">
        <v>694</v>
      </c>
      <c r="E282" s="68" t="s">
        <v>695</v>
      </c>
      <c r="F282" s="68" t="s">
        <v>696</v>
      </c>
      <c r="G282" s="69"/>
      <c r="H282" s="75" t="s">
        <v>40</v>
      </c>
      <c r="I282" s="69">
        <v>100</v>
      </c>
      <c r="J282" s="68">
        <v>710000000</v>
      </c>
      <c r="K282" s="75" t="s">
        <v>41</v>
      </c>
      <c r="L282" s="75" t="s">
        <v>386</v>
      </c>
      <c r="M282" s="75" t="s">
        <v>42</v>
      </c>
      <c r="N282" s="68"/>
      <c r="O282" s="76" t="s">
        <v>301</v>
      </c>
      <c r="P282" s="66" t="s">
        <v>648</v>
      </c>
      <c r="Q282" s="66"/>
      <c r="R282" s="75" t="s">
        <v>607</v>
      </c>
      <c r="S282" s="95">
        <v>1</v>
      </c>
      <c r="T282" s="63">
        <f>200000-(200000*12/112)</f>
        <v>178571.42857142858</v>
      </c>
      <c r="U282" s="63">
        <f t="shared" si="101"/>
        <v>178571.42857142858</v>
      </c>
      <c r="V282" s="64">
        <f t="shared" si="102"/>
        <v>200000</v>
      </c>
      <c r="W282" s="69"/>
      <c r="X282" s="71">
        <v>2018</v>
      </c>
      <c r="Y282" s="72"/>
      <c r="Z282" s="102"/>
      <c r="AA282" s="102"/>
      <c r="AB282" s="10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92.4">
      <c r="A283" s="3"/>
      <c r="B283" s="66" t="s">
        <v>705</v>
      </c>
      <c r="C283" s="75" t="s">
        <v>36</v>
      </c>
      <c r="D283" s="89" t="s">
        <v>698</v>
      </c>
      <c r="E283" s="68" t="s">
        <v>699</v>
      </c>
      <c r="F283" s="68" t="s">
        <v>700</v>
      </c>
      <c r="G283" s="69"/>
      <c r="H283" s="75" t="s">
        <v>40</v>
      </c>
      <c r="I283" s="69">
        <v>100</v>
      </c>
      <c r="J283" s="68">
        <v>710000000</v>
      </c>
      <c r="K283" s="75" t="s">
        <v>41</v>
      </c>
      <c r="L283" s="75" t="s">
        <v>386</v>
      </c>
      <c r="M283" s="75" t="s">
        <v>42</v>
      </c>
      <c r="N283" s="68"/>
      <c r="O283" s="76" t="s">
        <v>301</v>
      </c>
      <c r="P283" s="66" t="s">
        <v>827</v>
      </c>
      <c r="Q283" s="66"/>
      <c r="R283" s="75" t="s">
        <v>607</v>
      </c>
      <c r="S283" s="95">
        <v>1</v>
      </c>
      <c r="T283" s="63">
        <f>750000-(750000*12/112)</f>
        <v>669642.85714285716</v>
      </c>
      <c r="U283" s="63">
        <f t="shared" si="101"/>
        <v>669642.85714285716</v>
      </c>
      <c r="V283" s="64">
        <f t="shared" si="102"/>
        <v>750000</v>
      </c>
      <c r="W283" s="69"/>
      <c r="X283" s="71">
        <v>2018</v>
      </c>
      <c r="Y283" s="72"/>
      <c r="Z283" s="102"/>
      <c r="AA283" s="102"/>
      <c r="AB283" s="10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60.75" customHeight="1">
      <c r="A284" s="3"/>
      <c r="B284" s="66" t="s">
        <v>709</v>
      </c>
      <c r="C284" s="75" t="s">
        <v>36</v>
      </c>
      <c r="D284" s="89" t="s">
        <v>702</v>
      </c>
      <c r="E284" s="68" t="s">
        <v>703</v>
      </c>
      <c r="F284" s="68" t="s">
        <v>704</v>
      </c>
      <c r="G284" s="69"/>
      <c r="H284" s="75" t="s">
        <v>40</v>
      </c>
      <c r="I284" s="69">
        <v>100</v>
      </c>
      <c r="J284" s="68">
        <v>710000000</v>
      </c>
      <c r="K284" s="75" t="s">
        <v>41</v>
      </c>
      <c r="L284" s="75" t="s">
        <v>670</v>
      </c>
      <c r="M284" s="75" t="s">
        <v>42</v>
      </c>
      <c r="N284" s="68"/>
      <c r="O284" s="76" t="s">
        <v>301</v>
      </c>
      <c r="P284" s="20" t="s">
        <v>741</v>
      </c>
      <c r="Q284" s="66"/>
      <c r="R284" s="75" t="s">
        <v>607</v>
      </c>
      <c r="S284" s="95">
        <v>1</v>
      </c>
      <c r="T284" s="63">
        <f>1107385-(1107385*12/112)</f>
        <v>988736.60714285716</v>
      </c>
      <c r="U284" s="63">
        <f t="shared" si="101"/>
        <v>988736.60714285716</v>
      </c>
      <c r="V284" s="64">
        <f t="shared" si="102"/>
        <v>1107385</v>
      </c>
      <c r="W284" s="69"/>
      <c r="X284" s="71">
        <v>2018</v>
      </c>
      <c r="Y284" s="72"/>
      <c r="Z284" s="102"/>
      <c r="AA284" s="102"/>
      <c r="AB284" s="10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58.5" customHeight="1">
      <c r="A285" s="3"/>
      <c r="B285" s="66" t="s">
        <v>713</v>
      </c>
      <c r="C285" s="75" t="s">
        <v>36</v>
      </c>
      <c r="D285" s="89" t="s">
        <v>702</v>
      </c>
      <c r="E285" s="68" t="s">
        <v>703</v>
      </c>
      <c r="F285" s="68" t="s">
        <v>704</v>
      </c>
      <c r="G285" s="69"/>
      <c r="H285" s="75" t="s">
        <v>40</v>
      </c>
      <c r="I285" s="69">
        <v>100</v>
      </c>
      <c r="J285" s="68">
        <v>710000000</v>
      </c>
      <c r="K285" s="75" t="s">
        <v>41</v>
      </c>
      <c r="L285" s="75" t="s">
        <v>386</v>
      </c>
      <c r="M285" s="75" t="s">
        <v>42</v>
      </c>
      <c r="N285" s="68"/>
      <c r="O285" s="76" t="s">
        <v>828</v>
      </c>
      <c r="P285" s="20" t="s">
        <v>741</v>
      </c>
      <c r="Q285" s="66"/>
      <c r="R285" s="75" t="s">
        <v>607</v>
      </c>
      <c r="S285" s="95">
        <v>1</v>
      </c>
      <c r="T285" s="63">
        <f>117615-(117615*12/112)</f>
        <v>105013.39285714286</v>
      </c>
      <c r="U285" s="63">
        <f t="shared" ref="U285" si="107">S285*T285</f>
        <v>105013.39285714286</v>
      </c>
      <c r="V285" s="64">
        <f t="shared" ref="V285" si="108">U285+(U285*12%)</f>
        <v>117615</v>
      </c>
      <c r="W285" s="69"/>
      <c r="X285" s="71">
        <v>2018</v>
      </c>
      <c r="Y285" s="72"/>
      <c r="Z285" s="102"/>
      <c r="AA285" s="102"/>
      <c r="AB285" s="10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84" customHeight="1">
      <c r="A286" s="3"/>
      <c r="B286" s="66" t="s">
        <v>717</v>
      </c>
      <c r="C286" s="75" t="s">
        <v>36</v>
      </c>
      <c r="D286" s="68" t="s">
        <v>706</v>
      </c>
      <c r="E286" s="68" t="s">
        <v>707</v>
      </c>
      <c r="F286" s="68" t="s">
        <v>708</v>
      </c>
      <c r="G286" s="69"/>
      <c r="H286" s="75" t="s">
        <v>40</v>
      </c>
      <c r="I286" s="69">
        <v>100</v>
      </c>
      <c r="J286" s="68">
        <v>710000000</v>
      </c>
      <c r="K286" s="75" t="s">
        <v>41</v>
      </c>
      <c r="L286" s="75" t="s">
        <v>300</v>
      </c>
      <c r="M286" s="75" t="s">
        <v>42</v>
      </c>
      <c r="N286" s="68"/>
      <c r="O286" s="76" t="s">
        <v>301</v>
      </c>
      <c r="P286" s="20" t="s">
        <v>302</v>
      </c>
      <c r="Q286" s="66"/>
      <c r="R286" s="75" t="s">
        <v>607</v>
      </c>
      <c r="S286" s="95">
        <v>1</v>
      </c>
      <c r="T286" s="63">
        <f>39782090-(39782090*12/112)</f>
        <v>35519723.214285716</v>
      </c>
      <c r="U286" s="63">
        <f t="shared" si="101"/>
        <v>35519723.214285716</v>
      </c>
      <c r="V286" s="64">
        <f t="shared" si="102"/>
        <v>39782090</v>
      </c>
      <c r="W286" s="69"/>
      <c r="X286" s="71">
        <v>2018</v>
      </c>
      <c r="Y286" s="72"/>
      <c r="Z286" s="102"/>
      <c r="AA286" s="102"/>
      <c r="AB286" s="10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92.25" customHeight="1">
      <c r="A287" s="3"/>
      <c r="B287" s="66" t="s">
        <v>817</v>
      </c>
      <c r="C287" s="75" t="s">
        <v>36</v>
      </c>
      <c r="D287" s="68" t="s">
        <v>710</v>
      </c>
      <c r="E287" s="68" t="s">
        <v>711</v>
      </c>
      <c r="F287" s="68" t="s">
        <v>712</v>
      </c>
      <c r="G287" s="69"/>
      <c r="H287" s="75" t="s">
        <v>40</v>
      </c>
      <c r="I287" s="69">
        <v>100</v>
      </c>
      <c r="J287" s="68">
        <v>710000000</v>
      </c>
      <c r="K287" s="75" t="s">
        <v>41</v>
      </c>
      <c r="L287" s="75" t="s">
        <v>300</v>
      </c>
      <c r="M287" s="75" t="s">
        <v>42</v>
      </c>
      <c r="N287" s="68"/>
      <c r="O287" s="76" t="s">
        <v>301</v>
      </c>
      <c r="P287" s="20" t="s">
        <v>302</v>
      </c>
      <c r="Q287" s="66"/>
      <c r="R287" s="75" t="s">
        <v>607</v>
      </c>
      <c r="S287" s="95">
        <v>1</v>
      </c>
      <c r="T287" s="63">
        <f>648000-(648000*12/112)</f>
        <v>578571.42857142852</v>
      </c>
      <c r="U287" s="63">
        <f t="shared" si="101"/>
        <v>578571.42857142852</v>
      </c>
      <c r="V287" s="64">
        <f t="shared" si="102"/>
        <v>648000</v>
      </c>
      <c r="W287" s="69"/>
      <c r="X287" s="71">
        <v>2018</v>
      </c>
      <c r="Y287" s="72"/>
      <c r="Z287" s="102"/>
      <c r="AA287" s="102"/>
      <c r="AB287" s="10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52.8">
      <c r="A288" s="3"/>
      <c r="B288" s="66" t="s">
        <v>818</v>
      </c>
      <c r="C288" s="75" t="s">
        <v>36</v>
      </c>
      <c r="D288" s="68" t="s">
        <v>714</v>
      </c>
      <c r="E288" s="68" t="s">
        <v>715</v>
      </c>
      <c r="F288" s="68" t="s">
        <v>716</v>
      </c>
      <c r="G288" s="69"/>
      <c r="H288" s="75" t="s">
        <v>40</v>
      </c>
      <c r="I288" s="69">
        <v>100</v>
      </c>
      <c r="J288" s="68">
        <v>710000000</v>
      </c>
      <c r="K288" s="75" t="s">
        <v>41</v>
      </c>
      <c r="L288" s="75" t="s">
        <v>386</v>
      </c>
      <c r="M288" s="75" t="s">
        <v>42</v>
      </c>
      <c r="N288" s="68"/>
      <c r="O288" s="76" t="s">
        <v>301</v>
      </c>
      <c r="P288" s="20" t="s">
        <v>302</v>
      </c>
      <c r="Q288" s="66"/>
      <c r="R288" s="75" t="s">
        <v>607</v>
      </c>
      <c r="S288" s="95">
        <v>1</v>
      </c>
      <c r="T288" s="63">
        <f>2566000-(2566000*12/112)</f>
        <v>2291071.4285714286</v>
      </c>
      <c r="U288" s="63">
        <f t="shared" si="101"/>
        <v>2291071.4285714286</v>
      </c>
      <c r="V288" s="64">
        <f t="shared" si="102"/>
        <v>2566000</v>
      </c>
      <c r="W288" s="69"/>
      <c r="X288" s="71">
        <v>2018</v>
      </c>
      <c r="Y288" s="72"/>
      <c r="Z288" s="102"/>
      <c r="AA288" s="102"/>
      <c r="AB288" s="10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66">
      <c r="A289" s="3"/>
      <c r="B289" s="66" t="s">
        <v>819</v>
      </c>
      <c r="C289" s="75" t="s">
        <v>36</v>
      </c>
      <c r="D289" s="68" t="s">
        <v>718</v>
      </c>
      <c r="E289" s="68" t="s">
        <v>719</v>
      </c>
      <c r="F289" s="68" t="s">
        <v>720</v>
      </c>
      <c r="G289" s="69"/>
      <c r="H289" s="75" t="s">
        <v>40</v>
      </c>
      <c r="I289" s="69">
        <v>100</v>
      </c>
      <c r="J289" s="68">
        <v>710000000</v>
      </c>
      <c r="K289" s="75" t="s">
        <v>41</v>
      </c>
      <c r="L289" s="75" t="s">
        <v>386</v>
      </c>
      <c r="M289" s="75" t="s">
        <v>42</v>
      </c>
      <c r="N289" s="68"/>
      <c r="O289" s="76" t="s">
        <v>301</v>
      </c>
      <c r="P289" s="66" t="s">
        <v>648</v>
      </c>
      <c r="Q289" s="66"/>
      <c r="R289" s="75" t="s">
        <v>607</v>
      </c>
      <c r="S289" s="95">
        <v>1</v>
      </c>
      <c r="T289" s="63">
        <f>8658000-(8658000*12/112)</f>
        <v>7730357.1428571427</v>
      </c>
      <c r="U289" s="63">
        <f t="shared" si="101"/>
        <v>7730357.1428571427</v>
      </c>
      <c r="V289" s="64">
        <f t="shared" si="102"/>
        <v>8658000</v>
      </c>
      <c r="W289" s="69"/>
      <c r="X289" s="71">
        <v>2018</v>
      </c>
      <c r="Y289" s="72"/>
      <c r="Z289" s="102"/>
      <c r="AA289" s="102"/>
      <c r="AB289" s="10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15" customHeight="1">
      <c r="A290" s="3"/>
      <c r="B290" s="133" t="s">
        <v>804</v>
      </c>
      <c r="C290" s="137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91">
        <f>SUM(U245:U289)</f>
        <v>112985442.01785718</v>
      </c>
      <c r="V290" s="92">
        <f>SUM(V245:V289)</f>
        <v>126543695.06</v>
      </c>
      <c r="W290" s="14"/>
      <c r="X290" s="12"/>
      <c r="Y290" s="62"/>
      <c r="Z290" s="102"/>
      <c r="AA290" s="102"/>
      <c r="AB290" s="10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12.75" customHeight="1">
      <c r="A291" s="3"/>
      <c r="B291" s="81"/>
      <c r="C291" s="1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4"/>
      <c r="W291" s="14"/>
      <c r="X291" s="12"/>
      <c r="Y291" s="62"/>
      <c r="Z291" s="102"/>
      <c r="AA291" s="102"/>
      <c r="AB291" s="10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17.25" customHeight="1">
      <c r="A292" s="3"/>
      <c r="B292" s="133" t="s">
        <v>32</v>
      </c>
      <c r="C292" s="134"/>
      <c r="D292" s="12"/>
      <c r="E292" s="1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91">
        <f>U241+U243+U290</f>
        <v>188682256.12500006</v>
      </c>
      <c r="V292" s="92">
        <f>V241+V243+V290</f>
        <v>211324126.81</v>
      </c>
      <c r="W292" s="14"/>
      <c r="X292" s="12"/>
      <c r="Y292" s="62"/>
      <c r="Z292" s="102"/>
      <c r="AA292" s="102"/>
      <c r="AB292" s="10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12.75" customHeight="1">
      <c r="A293" s="3"/>
      <c r="B293" s="82"/>
      <c r="C293" s="16"/>
      <c r="D293" s="17"/>
      <c r="E293" s="16"/>
      <c r="F293" s="18"/>
      <c r="G293" s="18"/>
      <c r="H293" s="18"/>
      <c r="I293" s="18"/>
      <c r="J293" s="18"/>
      <c r="K293" s="18"/>
      <c r="L293" s="1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Z293" s="102"/>
      <c r="AA293" s="102"/>
      <c r="AB293" s="10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</sheetData>
  <autoFilter ref="B12:Y290"/>
  <mergeCells count="37">
    <mergeCell ref="I10:I11"/>
    <mergeCell ref="Q10:Q11"/>
    <mergeCell ref="R10:R11"/>
    <mergeCell ref="S10:S11"/>
    <mergeCell ref="B292:C292"/>
    <mergeCell ref="B241:C241"/>
    <mergeCell ref="B242:C242"/>
    <mergeCell ref="B243:C243"/>
    <mergeCell ref="B244:C244"/>
    <mergeCell ref="B290:C290"/>
    <mergeCell ref="Z10:Z11"/>
    <mergeCell ref="T10:T11"/>
    <mergeCell ref="U10:U11"/>
    <mergeCell ref="V10:V11"/>
    <mergeCell ref="W10:W11"/>
    <mergeCell ref="Y10:Y11"/>
    <mergeCell ref="D8:X8"/>
    <mergeCell ref="B10:B11"/>
    <mergeCell ref="C10:C11"/>
    <mergeCell ref="D10:D11"/>
    <mergeCell ref="E10:E11"/>
    <mergeCell ref="F10:F11"/>
    <mergeCell ref="G10:G11"/>
    <mergeCell ref="H10:H11"/>
    <mergeCell ref="J10:J11"/>
    <mergeCell ref="K10:K11"/>
    <mergeCell ref="L10:L11"/>
    <mergeCell ref="M10:M11"/>
    <mergeCell ref="X10:X11"/>
    <mergeCell ref="N10:N11"/>
    <mergeCell ref="O10:O11"/>
    <mergeCell ref="P10:P11"/>
    <mergeCell ref="B2:Y2"/>
    <mergeCell ref="B3:C3"/>
    <mergeCell ref="D3:X3"/>
    <mergeCell ref="T4:Y5"/>
    <mergeCell ref="T6:Y7"/>
  </mergeCells>
  <hyperlinks>
    <hyperlink ref="D188" r:id="rId1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192" r:id="rId2" display="https://enstru.kz/code_new.jsp?&amp;t=%D0%BF%D1%80%D0%B8%D0%BD%D1%82%D0%B5%D1%80&amp;s=common&amp;p=10&amp;n=0&amp;S=262016%2E300,262040%2E000&amp;N=%D0%9F%D1%80%D0%B8%D0%BD%D1%82%D0%B5%D1%80&amp;fc=1&amp;fg=1&amp;new=262016.300.000016"/>
    <hyperlink ref="D191" r:id="rId3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3" r:id="rId4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8" r:id="rId5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4" r:id="rId6" display="https://enstru.kz/code_new.jsp?&amp;t=%D0%BD%D0%BE%D1%83%D1%82%D0%B1%D1%83%D0%BA&amp;s=common&amp;p=10&amp;n=0&amp;S=262011%2E100&amp;N=%D0%9D%D0%BE%D1%83%D1%82%D0%B1%D1%83%D0%BA&amp;fc=1&amp;fg=1&amp;new=262011.100.000004"/>
    <hyperlink ref="D164" r:id="rId7" display="https://enstru.kz/code_new.jsp?&amp;t=%D0%BB%D1%83%D0%BF%D0%B0&amp;s=common&amp;p=10&amp;n=0&amp;S=325013%2E200,329959%2E900&amp;N=%D0%9B%D1%83%D0%BF%D0%B0&amp;fk=on&amp;fc=1&amp;fg=1&amp;new=325013.200.000008"/>
    <hyperlink ref="D167" r:id="rId8" display="https://enstru.kz/code_new.jsp?&amp;t=%D0%BD%D0%B0%D1%83%D1%88%D0%BD%D0%B8%D0%BA&amp;s=common&amp;p=10&amp;n=0&amp;S=264042%2E700&amp;N=%D0%9D%D0%B0%D1%83%D1%88%D0%BD%D0%B8%D0%BA%D0%B8&amp;fk=on&amp;fc=1&amp;fg=1&amp;new=264042.700.000004"/>
    <hyperlink ref="D195" r:id="rId9" display="https://enstru.kz/code_new.jsp?&amp;t=%D1%81%D1%83%D0%BC%D0%BA%D0%B0%20%D0%B4%D0%BB%D1%8F&amp;s=common&amp;p=10&amp;n=0&amp;S=271231%2E900&amp;N=%D0%A1%D1%83%D0%BC%D0%BA%D0%B0&amp;fk=on&amp;fc=1&amp;fg=1&amp;new=271231.900.000037"/>
    <hyperlink ref="D197" r:id="rId1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/>
    <hyperlink ref="D203" r:id="rId11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/>
    <hyperlink ref="D204" r:id="rId1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/>
    <hyperlink ref="D199" r:id="rId13" display="http://enstru.kz/code_new.jsp?&amp;t=%D1%81%D0%B5%D1%80%D0%B2%D0%B5%D1%80&amp;s=common&amp;p=10&amp;n=0&amp;S=262013%2E000&amp;N=%D0%A1%D0%B5%D1%80%D0%B2%D0%B5%D1%80&amp;fc=1&amp;fg=1&amp;new=262013.000.000022"/>
    <hyperlink ref="D201" r:id="rId14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05" r:id="rId15" display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/>
    <hyperlink ref="D206" r:id="rId16" display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/>
    <hyperlink ref="D207" r:id="rId17" display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/>
    <hyperlink ref="D208" r:id="rId1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7" r:id="rId19" display="http://enstru.kz/code_new.jsp?&amp;t=%D0%BA%D1%80%D0%B5%D1%81%D0%BB%D0%BE&amp;s=common&amp;p=10&amp;n=0&amp;S=310011%2E500,310011%2E750,310012%2E550,310012%2E590,310012%2E592&amp;N=%D0%9A%D1%80%D0%B5%D1%81%D0%BB%D0%BE&amp;fc=1&amp;fg=1&amp;new=310012.550.000002"/>
    <hyperlink ref="D220" r:id="rId20" display="http://enstru.kz/code_new.jsp?&amp;t=%D1%82%D1%83%D0%BC%D0%B1%D0%B0&amp;s=common&amp;p=10&amp;n=0&amp;S=310112%2E500,310911%2E000,310912%2E300&amp;N=%D0%A2%D1%83%D0%BC%D0%B1%D0%B0&amp;fc=1&amp;fg=1&amp;new=310112.500.000000"/>
    <hyperlink ref="D224" r:id="rId21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225" r:id="rId22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  <hyperlink ref="D226" r:id="rId23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227" r:id="rId24" display="http://enstru.kz/code_new.jsp?&amp;t=%D0%BA%D0%BE%D0%BD%D1%84%D0%B5%D1%80%D0%B5%D0%BD%D1%86&amp;s=common&amp;p=10&amp;n=0&amp;S=310112%2E300&amp;N=%D0%A1%D1%82%D0%BE%D0%BB&amp;fc=1&amp;fg=1&amp;new=310112.300.000001"/>
    <hyperlink ref="D230" r:id="rId25" display="http://enstru.kz/code_new.jsp?&amp;t=%D0%BA%D0%BE%D0%B2%D0%B5%D1%80&amp;s=common&amp;p=10&amp;n=1&amp;S=139311%2E000,139312%2E000,139313%2E000,139319%2E900&amp;N=%D0%9A%D0%BE%D0%B2%D0%B5%D1%80&amp;fc=1&amp;fg=1&amp;new=139312.000.000020"/>
    <hyperlink ref="D231" r:id="rId26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232" r:id="rId27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233" r:id="rId28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234" r:id="rId29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235" r:id="rId30" display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/>
    <hyperlink ref="D125" r:id="rId31" display="http://enstru.kz/code_new.jsp?&amp;t=%D0%BA%D0%BD%D0%B8%D0%B3%D0%B0&amp;s=common&amp;st=all&amp;p=10&amp;n=0&amp;S=172312%2E700,172313%2E100&amp;N=%D0%9A%D0%BD%D0%B8%D0%B3%D0%B0&amp;fc=1&amp;fg=1&amp;new=172313.100.000003"/>
    <hyperlink ref="D139" r:id="rId32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160" r:id="rId33" display="http://enstru.kz/code_new.jsp?&amp;t=%D1%88%D1%82%D1%80%D0%B8%D1%85&amp;s=common&amp;p=10&amp;n=0&amp;S=329959%2E900&amp;N=%D0%A8%D1%82%D1%80%D0%B8%D1%85%2D%D0%BB%D0%B5%D0%BD%D1%82%D0%B0&amp;fc=1&amp;fg=1&amp;new=329959.900.000066"/>
    <hyperlink ref="D165" r:id="rId34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182" r:id="rId35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185" r:id="rId36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09" r:id="rId37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0" r:id="rId3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1" r:id="rId39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3" r:id="rId40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202" r:id="rId41" display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/>
    <hyperlink ref="D196" r:id="rId42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00" r:id="rId43" display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/>
    <hyperlink ref="D281" r:id="rId44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280" r:id="rId45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282" r:id="rId46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284" r:id="rId47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289" r:id="rId48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275" r:id="rId49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283" r:id="rId50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286" r:id="rId51" display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/>
    <hyperlink ref="D287" r:id="rId52" display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/>
    <hyperlink ref="D288" r:id="rId53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285" r:id="rId54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</hyperlinks>
  <pageMargins left="0.23622047244094491" right="0.23622047244094491" top="0.35433070866141736" bottom="0.35433070866141736" header="0.31496062992125984" footer="0.31496062992125984"/>
  <pageSetup paperSize="9" scale="44" orientation="landscape" r:id="rId55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293"/>
  <sheetViews>
    <sheetView tabSelected="1" zoomScale="80" zoomScaleNormal="80" zoomScaleSheetLayoutView="70" workbookViewId="0">
      <selection activeCell="F198" sqref="F198"/>
    </sheetView>
  </sheetViews>
  <sheetFormatPr defaultColWidth="9.109375" defaultRowHeight="12.75" customHeight="1" outlineLevelCol="1"/>
  <cols>
    <col min="1" max="1" width="5.33203125" style="1" customWidth="1"/>
    <col min="2" max="2" width="7.44140625" style="78" customWidth="1"/>
    <col min="3" max="3" width="14" style="1" customWidth="1"/>
    <col min="4" max="4" width="18.6640625" style="1" customWidth="1" outlineLevel="1"/>
    <col min="5" max="5" width="15.88671875" style="1" customWidth="1"/>
    <col min="6" max="6" width="24.88671875" style="1" customWidth="1"/>
    <col min="7" max="7" width="17.33203125" style="1" hidden="1" customWidth="1" outlineLevel="1"/>
    <col min="8" max="8" width="9.88671875" style="1" customWidth="1" collapsed="1"/>
    <col min="9" max="9" width="9.5546875" style="1" customWidth="1"/>
    <col min="10" max="10" width="12.109375" style="1" customWidth="1" outlineLevel="1"/>
    <col min="11" max="11" width="12.33203125" style="1" customWidth="1" outlineLevel="1"/>
    <col min="12" max="12" width="12.5546875" style="1" customWidth="1"/>
    <col min="13" max="13" width="11" style="1" customWidth="1"/>
    <col min="14" max="14" width="10.109375" style="1" customWidth="1"/>
    <col min="15" max="15" width="15.88671875" style="1" customWidth="1"/>
    <col min="16" max="16" width="15" style="1" customWidth="1"/>
    <col min="17" max="17" width="10.5546875" style="1" customWidth="1"/>
    <col min="18" max="18" width="9.5546875" style="1" customWidth="1"/>
    <col min="19" max="19" width="10.33203125" style="1" customWidth="1"/>
    <col min="20" max="20" width="14.44140625" style="105" customWidth="1"/>
    <col min="21" max="21" width="14.6640625" style="1" customWidth="1"/>
    <col min="22" max="22" width="14.33203125" style="1" customWidth="1"/>
    <col min="23" max="23" width="12.33203125" style="1" customWidth="1"/>
    <col min="24" max="24" width="11.33203125" style="1" customWidth="1"/>
    <col min="25" max="25" width="12.44140625" style="1" customWidth="1"/>
    <col min="26" max="27" width="9.109375" style="101" customWidth="1"/>
    <col min="28" max="28" width="11.88671875" style="101" customWidth="1"/>
    <col min="29" max="39" width="9.109375" style="1" customWidth="1"/>
    <col min="40" max="16384" width="9.109375" style="3"/>
  </cols>
  <sheetData>
    <row r="1" spans="2:26" ht="12.75" customHeight="1">
      <c r="O1" s="100"/>
      <c r="V1" s="100"/>
      <c r="W1" s="100"/>
    </row>
    <row r="2" spans="2:26" ht="12.75" customHeight="1">
      <c r="B2" s="112" t="s">
        <v>722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2:26" ht="13.5" customHeight="1" thickBot="1">
      <c r="B3" s="113"/>
      <c r="C3" s="113"/>
      <c r="D3" s="114" t="s">
        <v>0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2:26" ht="10.5" customHeight="1">
      <c r="L4" s="100"/>
      <c r="M4" s="100"/>
      <c r="N4" s="100"/>
      <c r="O4" s="100"/>
      <c r="R4" s="5"/>
      <c r="S4" s="5"/>
      <c r="T4" s="115" t="s">
        <v>830</v>
      </c>
      <c r="U4" s="116"/>
      <c r="V4" s="116"/>
      <c r="W4" s="116"/>
      <c r="X4" s="116"/>
      <c r="Y4" s="117"/>
    </row>
    <row r="5" spans="2:26" ht="14.25" customHeight="1">
      <c r="L5" s="100"/>
      <c r="M5" s="100"/>
      <c r="N5" s="100"/>
      <c r="O5" s="100"/>
      <c r="Q5" s="5"/>
      <c r="R5" s="5"/>
      <c r="S5" s="5"/>
      <c r="T5" s="118"/>
      <c r="U5" s="119"/>
      <c r="V5" s="119"/>
      <c r="W5" s="119"/>
      <c r="X5" s="119"/>
      <c r="Y5" s="120"/>
    </row>
    <row r="6" spans="2:26" ht="14.25" customHeight="1">
      <c r="L6" s="100"/>
      <c r="M6" s="100"/>
      <c r="N6" s="100"/>
      <c r="O6" s="100"/>
      <c r="Q6" s="5"/>
      <c r="R6" s="5"/>
      <c r="S6" s="5"/>
      <c r="T6" s="118" t="s">
        <v>829</v>
      </c>
      <c r="U6" s="119"/>
      <c r="V6" s="119"/>
      <c r="W6" s="119"/>
      <c r="X6" s="119"/>
      <c r="Y6" s="120"/>
    </row>
    <row r="7" spans="2:26" ht="14.25" customHeight="1" thickBot="1">
      <c r="L7" s="100"/>
      <c r="M7" s="100"/>
      <c r="N7" s="100"/>
      <c r="O7" s="100"/>
      <c r="Q7" s="5"/>
      <c r="R7" s="5"/>
      <c r="S7" s="5"/>
      <c r="T7" s="121"/>
      <c r="U7" s="122"/>
      <c r="V7" s="122"/>
      <c r="W7" s="122"/>
      <c r="X7" s="122"/>
      <c r="Y7" s="123"/>
    </row>
    <row r="8" spans="2:26" ht="12.75" customHeight="1"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</row>
    <row r="9" spans="2:26" ht="13.5" customHeight="1" thickBot="1"/>
    <row r="10" spans="2:26" ht="12.75" customHeight="1">
      <c r="B10" s="125" t="s">
        <v>1</v>
      </c>
      <c r="C10" s="127" t="s">
        <v>2</v>
      </c>
      <c r="D10" s="127" t="s">
        <v>35</v>
      </c>
      <c r="E10" s="127" t="s">
        <v>3</v>
      </c>
      <c r="F10" s="127" t="s">
        <v>4</v>
      </c>
      <c r="G10" s="127" t="s">
        <v>5</v>
      </c>
      <c r="H10" s="127" t="s">
        <v>6</v>
      </c>
      <c r="I10" s="127" t="s">
        <v>33</v>
      </c>
      <c r="J10" s="127" t="s">
        <v>7</v>
      </c>
      <c r="K10" s="127" t="s">
        <v>8</v>
      </c>
      <c r="L10" s="127" t="s">
        <v>34</v>
      </c>
      <c r="M10" s="127" t="s">
        <v>9</v>
      </c>
      <c r="N10" s="127" t="s">
        <v>10</v>
      </c>
      <c r="O10" s="127" t="s">
        <v>11</v>
      </c>
      <c r="P10" s="127" t="s">
        <v>12</v>
      </c>
      <c r="Q10" s="127" t="s">
        <v>13</v>
      </c>
      <c r="R10" s="127" t="s">
        <v>14</v>
      </c>
      <c r="S10" s="127" t="s">
        <v>15</v>
      </c>
      <c r="T10" s="138" t="s">
        <v>16</v>
      </c>
      <c r="U10" s="127" t="s">
        <v>17</v>
      </c>
      <c r="V10" s="127" t="s">
        <v>18</v>
      </c>
      <c r="W10" s="127" t="s">
        <v>19</v>
      </c>
      <c r="X10" s="130" t="s">
        <v>20</v>
      </c>
      <c r="Y10" s="130" t="s">
        <v>21</v>
      </c>
      <c r="Z10" s="132"/>
    </row>
    <row r="11" spans="2:26" ht="106.5" customHeight="1" thickBot="1">
      <c r="B11" s="126"/>
      <c r="C11" s="128"/>
      <c r="D11" s="128"/>
      <c r="E11" s="128"/>
      <c r="F11" s="128"/>
      <c r="G11" s="129"/>
      <c r="H11" s="128"/>
      <c r="I11" s="129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39"/>
      <c r="U11" s="128"/>
      <c r="V11" s="128"/>
      <c r="W11" s="129"/>
      <c r="X11" s="131"/>
      <c r="Y11" s="131"/>
      <c r="Z11" s="132"/>
    </row>
    <row r="12" spans="2:26" ht="12.75" customHeight="1" thickBot="1">
      <c r="B12" s="79">
        <v>1</v>
      </c>
      <c r="C12" s="7">
        <v>2</v>
      </c>
      <c r="D12" s="6">
        <v>3</v>
      </c>
      <c r="E12" s="7">
        <v>4</v>
      </c>
      <c r="F12" s="6">
        <v>5</v>
      </c>
      <c r="G12" s="7">
        <v>6</v>
      </c>
      <c r="H12" s="6">
        <v>7</v>
      </c>
      <c r="I12" s="7">
        <v>8</v>
      </c>
      <c r="J12" s="6">
        <v>9</v>
      </c>
      <c r="K12" s="7">
        <v>10</v>
      </c>
      <c r="L12" s="6">
        <v>11</v>
      </c>
      <c r="M12" s="7">
        <v>12</v>
      </c>
      <c r="N12" s="6">
        <v>13</v>
      </c>
      <c r="O12" s="7">
        <v>14</v>
      </c>
      <c r="P12" s="6">
        <v>15</v>
      </c>
      <c r="Q12" s="7">
        <v>16</v>
      </c>
      <c r="R12" s="6">
        <v>17</v>
      </c>
      <c r="S12" s="7">
        <v>18</v>
      </c>
      <c r="T12" s="106">
        <v>19</v>
      </c>
      <c r="U12" s="7">
        <v>20</v>
      </c>
      <c r="V12" s="6">
        <v>21</v>
      </c>
      <c r="W12" s="7">
        <v>22</v>
      </c>
      <c r="X12" s="6">
        <v>23</v>
      </c>
      <c r="Y12" s="7">
        <v>24</v>
      </c>
    </row>
    <row r="13" spans="2:26" ht="12.75" customHeight="1">
      <c r="B13" s="80" t="s">
        <v>22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07"/>
      <c r="U13" s="8"/>
      <c r="V13" s="9"/>
      <c r="W13" s="9"/>
      <c r="X13" s="10"/>
      <c r="Y13" s="10"/>
    </row>
    <row r="14" spans="2:26" ht="52.8">
      <c r="B14" s="20" t="s">
        <v>23</v>
      </c>
      <c r="C14" s="20" t="s">
        <v>36</v>
      </c>
      <c r="D14" s="21" t="s">
        <v>37</v>
      </c>
      <c r="E14" s="20" t="s">
        <v>38</v>
      </c>
      <c r="F14" s="20" t="s">
        <v>39</v>
      </c>
      <c r="G14" s="20"/>
      <c r="H14" s="20" t="s">
        <v>40</v>
      </c>
      <c r="I14" s="20">
        <v>0</v>
      </c>
      <c r="J14" s="22">
        <v>710000000</v>
      </c>
      <c r="K14" s="20" t="s">
        <v>41</v>
      </c>
      <c r="L14" s="20" t="s">
        <v>736</v>
      </c>
      <c r="M14" s="20" t="s">
        <v>42</v>
      </c>
      <c r="N14" s="20" t="s">
        <v>43</v>
      </c>
      <c r="O14" s="23" t="s">
        <v>301</v>
      </c>
      <c r="P14" s="20" t="s">
        <v>302</v>
      </c>
      <c r="Q14" s="20">
        <v>5111</v>
      </c>
      <c r="R14" s="20" t="s">
        <v>44</v>
      </c>
      <c r="S14" s="93">
        <v>300</v>
      </c>
      <c r="T14" s="29">
        <v>1071.4285714285713</v>
      </c>
      <c r="U14" s="29">
        <v>0</v>
      </c>
      <c r="V14" s="29">
        <f t="shared" ref="V14:V77" si="0">U14+(U14*12%)</f>
        <v>0</v>
      </c>
      <c r="W14" s="25"/>
      <c r="X14" s="25">
        <v>2018</v>
      </c>
      <c r="Y14" s="62" t="s">
        <v>723</v>
      </c>
    </row>
    <row r="15" spans="2:26" ht="52.8">
      <c r="B15" s="20" t="s">
        <v>721</v>
      </c>
      <c r="C15" s="20" t="s">
        <v>36</v>
      </c>
      <c r="D15" s="21" t="s">
        <v>37</v>
      </c>
      <c r="E15" s="20" t="s">
        <v>38</v>
      </c>
      <c r="F15" s="20" t="s">
        <v>39</v>
      </c>
      <c r="G15" s="20"/>
      <c r="H15" s="20" t="s">
        <v>40</v>
      </c>
      <c r="I15" s="20">
        <v>0</v>
      </c>
      <c r="J15" s="22">
        <v>710000000</v>
      </c>
      <c r="K15" s="20" t="s">
        <v>41</v>
      </c>
      <c r="L15" s="20" t="s">
        <v>736</v>
      </c>
      <c r="M15" s="20" t="s">
        <v>42</v>
      </c>
      <c r="N15" s="20" t="s">
        <v>43</v>
      </c>
      <c r="O15" s="23" t="s">
        <v>301</v>
      </c>
      <c r="P15" s="20" t="s">
        <v>302</v>
      </c>
      <c r="Q15" s="20">
        <v>5111</v>
      </c>
      <c r="R15" s="20" t="s">
        <v>44</v>
      </c>
      <c r="S15" s="93">
        <v>100</v>
      </c>
      <c r="T15" s="29">
        <v>1071.4285714285713</v>
      </c>
      <c r="U15" s="29">
        <f t="shared" ref="U15" si="1">S15*T15</f>
        <v>107142.85714285713</v>
      </c>
      <c r="V15" s="29">
        <f t="shared" si="0"/>
        <v>119999.99999999999</v>
      </c>
      <c r="W15" s="25"/>
      <c r="X15" s="25">
        <v>2018</v>
      </c>
      <c r="Y15" s="32" t="s">
        <v>24</v>
      </c>
    </row>
    <row r="16" spans="2:26" ht="52.8">
      <c r="B16" s="20" t="s">
        <v>25</v>
      </c>
      <c r="C16" s="20" t="s">
        <v>36</v>
      </c>
      <c r="D16" s="21" t="s">
        <v>45</v>
      </c>
      <c r="E16" s="20" t="s">
        <v>38</v>
      </c>
      <c r="F16" s="20" t="s">
        <v>46</v>
      </c>
      <c r="G16" s="20"/>
      <c r="H16" s="20" t="s">
        <v>40</v>
      </c>
      <c r="I16" s="20">
        <v>0</v>
      </c>
      <c r="J16" s="22">
        <v>710000000</v>
      </c>
      <c r="K16" s="20" t="s">
        <v>41</v>
      </c>
      <c r="L16" s="20" t="s">
        <v>736</v>
      </c>
      <c r="M16" s="20" t="s">
        <v>42</v>
      </c>
      <c r="N16" s="20" t="s">
        <v>43</v>
      </c>
      <c r="O16" s="23" t="s">
        <v>301</v>
      </c>
      <c r="P16" s="20" t="s">
        <v>302</v>
      </c>
      <c r="Q16" s="20">
        <v>5111</v>
      </c>
      <c r="R16" s="20" t="s">
        <v>44</v>
      </c>
      <c r="S16" s="93">
        <v>15</v>
      </c>
      <c r="T16" s="29">
        <v>2160.7142857142858</v>
      </c>
      <c r="U16" s="29">
        <v>0</v>
      </c>
      <c r="V16" s="29">
        <f t="shared" si="0"/>
        <v>0</v>
      </c>
      <c r="W16" s="25"/>
      <c r="X16" s="25">
        <v>2018</v>
      </c>
      <c r="Y16" s="62" t="s">
        <v>724</v>
      </c>
    </row>
    <row r="17" spans="2:25" ht="52.8">
      <c r="B17" s="20" t="s">
        <v>26</v>
      </c>
      <c r="C17" s="20" t="s">
        <v>36</v>
      </c>
      <c r="D17" s="20" t="s">
        <v>47</v>
      </c>
      <c r="E17" s="20" t="s">
        <v>48</v>
      </c>
      <c r="F17" s="20" t="s">
        <v>49</v>
      </c>
      <c r="G17" s="20"/>
      <c r="H17" s="20" t="s">
        <v>40</v>
      </c>
      <c r="I17" s="20">
        <v>0</v>
      </c>
      <c r="J17" s="22">
        <v>710000000</v>
      </c>
      <c r="K17" s="20" t="s">
        <v>41</v>
      </c>
      <c r="L17" s="20" t="s">
        <v>736</v>
      </c>
      <c r="M17" s="20" t="s">
        <v>42</v>
      </c>
      <c r="N17" s="20" t="s">
        <v>43</v>
      </c>
      <c r="O17" s="23" t="s">
        <v>301</v>
      </c>
      <c r="P17" s="20" t="s">
        <v>302</v>
      </c>
      <c r="Q17" s="20">
        <v>5111</v>
      </c>
      <c r="R17" s="20" t="s">
        <v>44</v>
      </c>
      <c r="S17" s="93">
        <v>10</v>
      </c>
      <c r="T17" s="29">
        <v>669.64285714285711</v>
      </c>
      <c r="U17" s="29">
        <f t="shared" ref="U17:U18" si="2">S17*T17</f>
        <v>6696.4285714285706</v>
      </c>
      <c r="V17" s="29">
        <f t="shared" si="0"/>
        <v>7499.9999999999991</v>
      </c>
      <c r="W17" s="25"/>
      <c r="X17" s="25">
        <v>2018</v>
      </c>
      <c r="Y17" s="62"/>
    </row>
    <row r="18" spans="2:25" ht="52.8">
      <c r="B18" s="20" t="s">
        <v>50</v>
      </c>
      <c r="C18" s="20" t="s">
        <v>36</v>
      </c>
      <c r="D18" s="20" t="s">
        <v>51</v>
      </c>
      <c r="E18" s="20" t="s">
        <v>52</v>
      </c>
      <c r="F18" s="20" t="s">
        <v>53</v>
      </c>
      <c r="G18" s="20"/>
      <c r="H18" s="20" t="s">
        <v>40</v>
      </c>
      <c r="I18" s="20">
        <v>0</v>
      </c>
      <c r="J18" s="22">
        <v>710000000</v>
      </c>
      <c r="K18" s="20" t="s">
        <v>41</v>
      </c>
      <c r="L18" s="20" t="s">
        <v>736</v>
      </c>
      <c r="M18" s="20" t="s">
        <v>42</v>
      </c>
      <c r="N18" s="20" t="s">
        <v>43</v>
      </c>
      <c r="O18" s="23" t="s">
        <v>301</v>
      </c>
      <c r="P18" s="20" t="s">
        <v>302</v>
      </c>
      <c r="Q18" s="20">
        <v>796</v>
      </c>
      <c r="R18" s="20" t="s">
        <v>54</v>
      </c>
      <c r="S18" s="93">
        <v>7</v>
      </c>
      <c r="T18" s="29">
        <v>5125</v>
      </c>
      <c r="U18" s="29">
        <f t="shared" si="2"/>
        <v>35875</v>
      </c>
      <c r="V18" s="29">
        <f t="shared" si="0"/>
        <v>40180</v>
      </c>
      <c r="W18" s="25"/>
      <c r="X18" s="25">
        <v>2018</v>
      </c>
      <c r="Y18" s="62"/>
    </row>
    <row r="19" spans="2:25" ht="52.8">
      <c r="B19" s="20" t="s">
        <v>55</v>
      </c>
      <c r="C19" s="20" t="s">
        <v>36</v>
      </c>
      <c r="D19" s="20" t="s">
        <v>56</v>
      </c>
      <c r="E19" s="20" t="s">
        <v>57</v>
      </c>
      <c r="F19" s="20" t="s">
        <v>58</v>
      </c>
      <c r="G19" s="20"/>
      <c r="H19" s="20" t="s">
        <v>40</v>
      </c>
      <c r="I19" s="20">
        <v>0</v>
      </c>
      <c r="J19" s="22">
        <v>710000000</v>
      </c>
      <c r="K19" s="20" t="s">
        <v>41</v>
      </c>
      <c r="L19" s="20" t="s">
        <v>736</v>
      </c>
      <c r="M19" s="20" t="s">
        <v>42</v>
      </c>
      <c r="N19" s="20" t="s">
        <v>43</v>
      </c>
      <c r="O19" s="23" t="s">
        <v>301</v>
      </c>
      <c r="P19" s="20" t="s">
        <v>302</v>
      </c>
      <c r="Q19" s="20">
        <v>796</v>
      </c>
      <c r="R19" s="20" t="s">
        <v>54</v>
      </c>
      <c r="S19" s="93">
        <v>1</v>
      </c>
      <c r="T19" s="24">
        <v>295</v>
      </c>
      <c r="U19" s="24">
        <v>0</v>
      </c>
      <c r="V19" s="24">
        <f t="shared" si="0"/>
        <v>0</v>
      </c>
      <c r="W19" s="25"/>
      <c r="X19" s="25">
        <v>2018</v>
      </c>
      <c r="Y19" s="62" t="s">
        <v>724</v>
      </c>
    </row>
    <row r="20" spans="2:25" ht="52.8">
      <c r="B20" s="20" t="s">
        <v>59</v>
      </c>
      <c r="C20" s="20" t="s">
        <v>36</v>
      </c>
      <c r="D20" s="20" t="s">
        <v>56</v>
      </c>
      <c r="E20" s="20" t="s">
        <v>57</v>
      </c>
      <c r="F20" s="20" t="s">
        <v>60</v>
      </c>
      <c r="G20" s="20"/>
      <c r="H20" s="20" t="s">
        <v>40</v>
      </c>
      <c r="I20" s="20">
        <v>0</v>
      </c>
      <c r="J20" s="22">
        <v>710000000</v>
      </c>
      <c r="K20" s="20" t="s">
        <v>41</v>
      </c>
      <c r="L20" s="20" t="s">
        <v>736</v>
      </c>
      <c r="M20" s="20" t="s">
        <v>42</v>
      </c>
      <c r="N20" s="20" t="s">
        <v>43</v>
      </c>
      <c r="O20" s="23" t="s">
        <v>301</v>
      </c>
      <c r="P20" s="20" t="s">
        <v>302</v>
      </c>
      <c r="Q20" s="20">
        <v>796</v>
      </c>
      <c r="R20" s="20" t="s">
        <v>54</v>
      </c>
      <c r="S20" s="93">
        <v>1</v>
      </c>
      <c r="T20" s="24">
        <v>295</v>
      </c>
      <c r="U20" s="24">
        <v>0</v>
      </c>
      <c r="V20" s="24">
        <f t="shared" si="0"/>
        <v>0</v>
      </c>
      <c r="W20" s="25"/>
      <c r="X20" s="25">
        <v>2018</v>
      </c>
      <c r="Y20" s="62" t="s">
        <v>724</v>
      </c>
    </row>
    <row r="21" spans="2:25" ht="52.8">
      <c r="B21" s="20" t="s">
        <v>61</v>
      </c>
      <c r="C21" s="20" t="s">
        <v>36</v>
      </c>
      <c r="D21" s="20" t="s">
        <v>56</v>
      </c>
      <c r="E21" s="20" t="s">
        <v>57</v>
      </c>
      <c r="F21" s="20" t="s">
        <v>62</v>
      </c>
      <c r="G21" s="20"/>
      <c r="H21" s="20" t="s">
        <v>40</v>
      </c>
      <c r="I21" s="20">
        <v>0</v>
      </c>
      <c r="J21" s="22">
        <v>710000000</v>
      </c>
      <c r="K21" s="20" t="s">
        <v>41</v>
      </c>
      <c r="L21" s="20" t="s">
        <v>736</v>
      </c>
      <c r="M21" s="20" t="s">
        <v>42</v>
      </c>
      <c r="N21" s="20" t="s">
        <v>43</v>
      </c>
      <c r="O21" s="23" t="s">
        <v>301</v>
      </c>
      <c r="P21" s="20" t="s">
        <v>302</v>
      </c>
      <c r="Q21" s="20">
        <v>796</v>
      </c>
      <c r="R21" s="20" t="s">
        <v>54</v>
      </c>
      <c r="S21" s="93">
        <v>1</v>
      </c>
      <c r="T21" s="24">
        <v>401.78</v>
      </c>
      <c r="U21" s="24">
        <v>0</v>
      </c>
      <c r="V21" s="24">
        <f t="shared" si="0"/>
        <v>0</v>
      </c>
      <c r="W21" s="25"/>
      <c r="X21" s="25">
        <v>2018</v>
      </c>
      <c r="Y21" s="62" t="s">
        <v>724</v>
      </c>
    </row>
    <row r="22" spans="2:25" ht="52.8">
      <c r="B22" s="20" t="s">
        <v>63</v>
      </c>
      <c r="C22" s="20" t="s">
        <v>36</v>
      </c>
      <c r="D22" s="20" t="s">
        <v>56</v>
      </c>
      <c r="E22" s="20" t="s">
        <v>57</v>
      </c>
      <c r="F22" s="20" t="s">
        <v>64</v>
      </c>
      <c r="G22" s="20"/>
      <c r="H22" s="20" t="s">
        <v>40</v>
      </c>
      <c r="I22" s="20">
        <v>0</v>
      </c>
      <c r="J22" s="22">
        <v>710000000</v>
      </c>
      <c r="K22" s="20" t="s">
        <v>41</v>
      </c>
      <c r="L22" s="20" t="s">
        <v>736</v>
      </c>
      <c r="M22" s="20" t="s">
        <v>42</v>
      </c>
      <c r="N22" s="20" t="s">
        <v>43</v>
      </c>
      <c r="O22" s="23" t="s">
        <v>301</v>
      </c>
      <c r="P22" s="20" t="s">
        <v>302</v>
      </c>
      <c r="Q22" s="20">
        <v>796</v>
      </c>
      <c r="R22" s="20" t="s">
        <v>54</v>
      </c>
      <c r="S22" s="93">
        <v>1</v>
      </c>
      <c r="T22" s="24">
        <v>401.78</v>
      </c>
      <c r="U22" s="24">
        <v>0</v>
      </c>
      <c r="V22" s="24">
        <f t="shared" si="0"/>
        <v>0</v>
      </c>
      <c r="W22" s="25"/>
      <c r="X22" s="25">
        <v>2018</v>
      </c>
      <c r="Y22" s="62" t="s">
        <v>724</v>
      </c>
    </row>
    <row r="23" spans="2:25" ht="52.8">
      <c r="B23" s="20" t="s">
        <v>65</v>
      </c>
      <c r="C23" s="20" t="s">
        <v>36</v>
      </c>
      <c r="D23" s="20" t="s">
        <v>56</v>
      </c>
      <c r="E23" s="20" t="s">
        <v>57</v>
      </c>
      <c r="F23" s="20" t="s">
        <v>66</v>
      </c>
      <c r="G23" s="20"/>
      <c r="H23" s="20" t="s">
        <v>40</v>
      </c>
      <c r="I23" s="20">
        <v>0</v>
      </c>
      <c r="J23" s="22">
        <v>710000000</v>
      </c>
      <c r="K23" s="20" t="s">
        <v>41</v>
      </c>
      <c r="L23" s="20" t="s">
        <v>736</v>
      </c>
      <c r="M23" s="20" t="s">
        <v>42</v>
      </c>
      <c r="N23" s="20" t="s">
        <v>43</v>
      </c>
      <c r="O23" s="23" t="s">
        <v>301</v>
      </c>
      <c r="P23" s="20" t="s">
        <v>302</v>
      </c>
      <c r="Q23" s="20">
        <v>796</v>
      </c>
      <c r="R23" s="20" t="s">
        <v>54</v>
      </c>
      <c r="S23" s="93">
        <v>1</v>
      </c>
      <c r="T23" s="24">
        <v>401.78</v>
      </c>
      <c r="U23" s="24">
        <v>0</v>
      </c>
      <c r="V23" s="24">
        <f t="shared" si="0"/>
        <v>0</v>
      </c>
      <c r="W23" s="25"/>
      <c r="X23" s="25">
        <v>2018</v>
      </c>
      <c r="Y23" s="62" t="s">
        <v>724</v>
      </c>
    </row>
    <row r="24" spans="2:25" ht="52.8">
      <c r="B24" s="20" t="s">
        <v>67</v>
      </c>
      <c r="C24" s="20" t="s">
        <v>36</v>
      </c>
      <c r="D24" s="20" t="s">
        <v>56</v>
      </c>
      <c r="E24" s="20" t="s">
        <v>57</v>
      </c>
      <c r="F24" s="20" t="s">
        <v>68</v>
      </c>
      <c r="G24" s="20"/>
      <c r="H24" s="20" t="s">
        <v>40</v>
      </c>
      <c r="I24" s="20">
        <v>0</v>
      </c>
      <c r="J24" s="22">
        <v>710000000</v>
      </c>
      <c r="K24" s="20" t="s">
        <v>41</v>
      </c>
      <c r="L24" s="20" t="s">
        <v>736</v>
      </c>
      <c r="M24" s="20" t="s">
        <v>42</v>
      </c>
      <c r="N24" s="20" t="s">
        <v>43</v>
      </c>
      <c r="O24" s="23" t="s">
        <v>301</v>
      </c>
      <c r="P24" s="20" t="s">
        <v>302</v>
      </c>
      <c r="Q24" s="20">
        <v>796</v>
      </c>
      <c r="R24" s="20" t="s">
        <v>54</v>
      </c>
      <c r="S24" s="93">
        <v>1</v>
      </c>
      <c r="T24" s="29">
        <v>401.78571428571428</v>
      </c>
      <c r="U24" s="29">
        <f t="shared" ref="U24:U27" si="3">S24*T24</f>
        <v>401.78571428571428</v>
      </c>
      <c r="V24" s="29">
        <f t="shared" si="0"/>
        <v>450</v>
      </c>
      <c r="W24" s="25"/>
      <c r="X24" s="25">
        <v>2018</v>
      </c>
      <c r="Y24" s="62"/>
    </row>
    <row r="25" spans="2:25" ht="52.8">
      <c r="B25" s="20" t="s">
        <v>69</v>
      </c>
      <c r="C25" s="20" t="s">
        <v>36</v>
      </c>
      <c r="D25" s="20" t="s">
        <v>70</v>
      </c>
      <c r="E25" s="20" t="s">
        <v>71</v>
      </c>
      <c r="F25" s="20" t="s">
        <v>72</v>
      </c>
      <c r="G25" s="20"/>
      <c r="H25" s="20" t="s">
        <v>40</v>
      </c>
      <c r="I25" s="20">
        <v>0</v>
      </c>
      <c r="J25" s="22">
        <v>710000000</v>
      </c>
      <c r="K25" s="20" t="s">
        <v>41</v>
      </c>
      <c r="L25" s="20" t="s">
        <v>736</v>
      </c>
      <c r="M25" s="20" t="s">
        <v>42</v>
      </c>
      <c r="N25" s="20" t="s">
        <v>43</v>
      </c>
      <c r="O25" s="23" t="s">
        <v>301</v>
      </c>
      <c r="P25" s="20" t="s">
        <v>302</v>
      </c>
      <c r="Q25" s="20">
        <v>796</v>
      </c>
      <c r="R25" s="20" t="s">
        <v>54</v>
      </c>
      <c r="S25" s="93">
        <v>1</v>
      </c>
      <c r="T25" s="29">
        <v>357.14285714285717</v>
      </c>
      <c r="U25" s="29">
        <f t="shared" si="3"/>
        <v>357.14285714285717</v>
      </c>
      <c r="V25" s="29">
        <f t="shared" si="0"/>
        <v>400</v>
      </c>
      <c r="W25" s="25"/>
      <c r="X25" s="25">
        <v>2018</v>
      </c>
      <c r="Y25" s="62"/>
    </row>
    <row r="26" spans="2:25" ht="52.8">
      <c r="B26" s="20" t="s">
        <v>73</v>
      </c>
      <c r="C26" s="20" t="s">
        <v>36</v>
      </c>
      <c r="D26" s="20" t="s">
        <v>74</v>
      </c>
      <c r="E26" s="20" t="s">
        <v>75</v>
      </c>
      <c r="F26" s="20" t="s">
        <v>76</v>
      </c>
      <c r="G26" s="20"/>
      <c r="H26" s="20" t="s">
        <v>40</v>
      </c>
      <c r="I26" s="20">
        <v>0</v>
      </c>
      <c r="J26" s="22">
        <v>710000000</v>
      </c>
      <c r="K26" s="20" t="s">
        <v>41</v>
      </c>
      <c r="L26" s="20" t="s">
        <v>736</v>
      </c>
      <c r="M26" s="20" t="s">
        <v>42</v>
      </c>
      <c r="N26" s="20" t="s">
        <v>43</v>
      </c>
      <c r="O26" s="23" t="s">
        <v>301</v>
      </c>
      <c r="P26" s="20" t="s">
        <v>302</v>
      </c>
      <c r="Q26" s="20">
        <v>778</v>
      </c>
      <c r="R26" s="20" t="s">
        <v>77</v>
      </c>
      <c r="S26" s="93">
        <v>14</v>
      </c>
      <c r="T26" s="29">
        <v>580.35714285714289</v>
      </c>
      <c r="U26" s="29">
        <f t="shared" si="3"/>
        <v>8125</v>
      </c>
      <c r="V26" s="29">
        <f t="shared" si="0"/>
        <v>9100</v>
      </c>
      <c r="W26" s="25"/>
      <c r="X26" s="25">
        <v>2018</v>
      </c>
      <c r="Y26" s="62"/>
    </row>
    <row r="27" spans="2:25" ht="52.8">
      <c r="B27" s="20" t="s">
        <v>78</v>
      </c>
      <c r="C27" s="20" t="s">
        <v>36</v>
      </c>
      <c r="D27" s="20" t="s">
        <v>74</v>
      </c>
      <c r="E27" s="20" t="s">
        <v>75</v>
      </c>
      <c r="F27" s="20" t="s">
        <v>79</v>
      </c>
      <c r="G27" s="20"/>
      <c r="H27" s="20" t="s">
        <v>40</v>
      </c>
      <c r="I27" s="20">
        <v>0</v>
      </c>
      <c r="J27" s="22">
        <v>710000000</v>
      </c>
      <c r="K27" s="20" t="s">
        <v>41</v>
      </c>
      <c r="L27" s="20" t="s">
        <v>736</v>
      </c>
      <c r="M27" s="20" t="s">
        <v>42</v>
      </c>
      <c r="N27" s="20" t="s">
        <v>43</v>
      </c>
      <c r="O27" s="23" t="s">
        <v>301</v>
      </c>
      <c r="P27" s="20" t="s">
        <v>302</v>
      </c>
      <c r="Q27" s="20">
        <v>778</v>
      </c>
      <c r="R27" s="20" t="s">
        <v>77</v>
      </c>
      <c r="S27" s="93">
        <v>14</v>
      </c>
      <c r="T27" s="29">
        <v>828.57142857142856</v>
      </c>
      <c r="U27" s="29">
        <f t="shared" si="3"/>
        <v>11600</v>
      </c>
      <c r="V27" s="29">
        <f t="shared" si="0"/>
        <v>12992</v>
      </c>
      <c r="W27" s="25"/>
      <c r="X27" s="25">
        <v>2018</v>
      </c>
      <c r="Y27" s="62"/>
    </row>
    <row r="28" spans="2:25" ht="118.8">
      <c r="B28" s="20" t="s">
        <v>80</v>
      </c>
      <c r="C28" s="20" t="s">
        <v>36</v>
      </c>
      <c r="D28" s="20" t="s">
        <v>81</v>
      </c>
      <c r="E28" s="20" t="s">
        <v>82</v>
      </c>
      <c r="F28" s="20" t="s">
        <v>83</v>
      </c>
      <c r="G28" s="20" t="s">
        <v>84</v>
      </c>
      <c r="H28" s="20" t="s">
        <v>40</v>
      </c>
      <c r="I28" s="20">
        <v>0</v>
      </c>
      <c r="J28" s="22">
        <v>710000000</v>
      </c>
      <c r="K28" s="20" t="s">
        <v>41</v>
      </c>
      <c r="L28" s="20" t="s">
        <v>736</v>
      </c>
      <c r="M28" s="20" t="s">
        <v>42</v>
      </c>
      <c r="N28" s="20" t="s">
        <v>43</v>
      </c>
      <c r="O28" s="23" t="s">
        <v>301</v>
      </c>
      <c r="P28" s="20" t="s">
        <v>302</v>
      </c>
      <c r="Q28" s="20">
        <v>796</v>
      </c>
      <c r="R28" s="20" t="s">
        <v>54</v>
      </c>
      <c r="S28" s="93">
        <v>10</v>
      </c>
      <c r="T28" s="29">
        <v>5553.5714285714284</v>
      </c>
      <c r="U28" s="24">
        <v>0</v>
      </c>
      <c r="V28" s="24">
        <f t="shared" si="0"/>
        <v>0</v>
      </c>
      <c r="W28" s="25"/>
      <c r="X28" s="25">
        <v>2018</v>
      </c>
      <c r="Y28" s="62" t="s">
        <v>723</v>
      </c>
    </row>
    <row r="29" spans="2:25" ht="118.8">
      <c r="B29" s="20" t="s">
        <v>725</v>
      </c>
      <c r="C29" s="20" t="s">
        <v>36</v>
      </c>
      <c r="D29" s="20" t="s">
        <v>81</v>
      </c>
      <c r="E29" s="20" t="s">
        <v>82</v>
      </c>
      <c r="F29" s="20" t="s">
        <v>83</v>
      </c>
      <c r="G29" s="20" t="s">
        <v>84</v>
      </c>
      <c r="H29" s="20" t="s">
        <v>40</v>
      </c>
      <c r="I29" s="20">
        <v>0</v>
      </c>
      <c r="J29" s="22">
        <v>710000000</v>
      </c>
      <c r="K29" s="20" t="s">
        <v>41</v>
      </c>
      <c r="L29" s="20" t="s">
        <v>736</v>
      </c>
      <c r="M29" s="20" t="s">
        <v>42</v>
      </c>
      <c r="N29" s="20" t="s">
        <v>43</v>
      </c>
      <c r="O29" s="23" t="s">
        <v>301</v>
      </c>
      <c r="P29" s="20" t="s">
        <v>302</v>
      </c>
      <c r="Q29" s="20">
        <v>796</v>
      </c>
      <c r="R29" s="20" t="s">
        <v>54</v>
      </c>
      <c r="S29" s="93">
        <v>5</v>
      </c>
      <c r="T29" s="29">
        <v>5553.5714285714284</v>
      </c>
      <c r="U29" s="29">
        <f t="shared" ref="U29:U30" si="4">S29*T29</f>
        <v>27767.857142857141</v>
      </c>
      <c r="V29" s="29">
        <f t="shared" si="0"/>
        <v>31100</v>
      </c>
      <c r="W29" s="25"/>
      <c r="X29" s="25">
        <v>2018</v>
      </c>
      <c r="Y29" s="62"/>
    </row>
    <row r="30" spans="2:25" ht="52.8">
      <c r="B30" s="20" t="s">
        <v>85</v>
      </c>
      <c r="C30" s="20" t="s">
        <v>36</v>
      </c>
      <c r="D30" s="20" t="s">
        <v>86</v>
      </c>
      <c r="E30" s="20" t="s">
        <v>87</v>
      </c>
      <c r="F30" s="20" t="s">
        <v>88</v>
      </c>
      <c r="G30" s="20"/>
      <c r="H30" s="20" t="s">
        <v>40</v>
      </c>
      <c r="I30" s="20">
        <v>0</v>
      </c>
      <c r="J30" s="22">
        <v>710000000</v>
      </c>
      <c r="K30" s="20" t="s">
        <v>41</v>
      </c>
      <c r="L30" s="20" t="s">
        <v>736</v>
      </c>
      <c r="M30" s="20" t="s">
        <v>42</v>
      </c>
      <c r="N30" s="20" t="s">
        <v>43</v>
      </c>
      <c r="O30" s="23" t="s">
        <v>301</v>
      </c>
      <c r="P30" s="20" t="s">
        <v>302</v>
      </c>
      <c r="Q30" s="20">
        <v>796</v>
      </c>
      <c r="R30" s="20" t="s">
        <v>54</v>
      </c>
      <c r="S30" s="93">
        <v>14</v>
      </c>
      <c r="T30" s="29">
        <v>209.82142857142858</v>
      </c>
      <c r="U30" s="29">
        <f t="shared" si="4"/>
        <v>2937.5</v>
      </c>
      <c r="V30" s="29">
        <f t="shared" si="0"/>
        <v>3290</v>
      </c>
      <c r="W30" s="25"/>
      <c r="X30" s="25">
        <v>2018</v>
      </c>
      <c r="Y30" s="62"/>
    </row>
    <row r="31" spans="2:25" ht="52.8">
      <c r="B31" s="20" t="s">
        <v>89</v>
      </c>
      <c r="C31" s="20" t="s">
        <v>36</v>
      </c>
      <c r="D31" s="20" t="s">
        <v>90</v>
      </c>
      <c r="E31" s="20" t="s">
        <v>91</v>
      </c>
      <c r="F31" s="20" t="s">
        <v>92</v>
      </c>
      <c r="G31" s="20"/>
      <c r="H31" s="20" t="s">
        <v>40</v>
      </c>
      <c r="I31" s="20">
        <v>0</v>
      </c>
      <c r="J31" s="22">
        <v>710000000</v>
      </c>
      <c r="K31" s="20" t="s">
        <v>41</v>
      </c>
      <c r="L31" s="20" t="s">
        <v>736</v>
      </c>
      <c r="M31" s="20" t="s">
        <v>42</v>
      </c>
      <c r="N31" s="20" t="s">
        <v>43</v>
      </c>
      <c r="O31" s="23" t="s">
        <v>301</v>
      </c>
      <c r="P31" s="20" t="s">
        <v>302</v>
      </c>
      <c r="Q31" s="20">
        <v>796</v>
      </c>
      <c r="R31" s="20" t="s">
        <v>54</v>
      </c>
      <c r="S31" s="93">
        <v>40</v>
      </c>
      <c r="T31" s="29">
        <v>40.178571428571431</v>
      </c>
      <c r="U31" s="24">
        <v>0</v>
      </c>
      <c r="V31" s="24">
        <f t="shared" si="0"/>
        <v>0</v>
      </c>
      <c r="W31" s="25"/>
      <c r="X31" s="25">
        <v>2018</v>
      </c>
      <c r="Y31" s="62" t="s">
        <v>723</v>
      </c>
    </row>
    <row r="32" spans="2:25" ht="52.8">
      <c r="B32" s="20" t="s">
        <v>726</v>
      </c>
      <c r="C32" s="20" t="s">
        <v>36</v>
      </c>
      <c r="D32" s="20" t="s">
        <v>90</v>
      </c>
      <c r="E32" s="20" t="s">
        <v>91</v>
      </c>
      <c r="F32" s="20" t="s">
        <v>92</v>
      </c>
      <c r="G32" s="20"/>
      <c r="H32" s="20" t="s">
        <v>40</v>
      </c>
      <c r="I32" s="20">
        <v>0</v>
      </c>
      <c r="J32" s="22">
        <v>710000000</v>
      </c>
      <c r="K32" s="20" t="s">
        <v>41</v>
      </c>
      <c r="L32" s="20" t="s">
        <v>736</v>
      </c>
      <c r="M32" s="20" t="s">
        <v>42</v>
      </c>
      <c r="N32" s="20" t="s">
        <v>43</v>
      </c>
      <c r="O32" s="23" t="s">
        <v>301</v>
      </c>
      <c r="P32" s="20" t="s">
        <v>302</v>
      </c>
      <c r="Q32" s="20">
        <v>796</v>
      </c>
      <c r="R32" s="20" t="s">
        <v>54</v>
      </c>
      <c r="S32" s="93">
        <v>20</v>
      </c>
      <c r="T32" s="29">
        <v>40.178571428571431</v>
      </c>
      <c r="U32" s="29">
        <f t="shared" ref="U32:U34" si="5">S32*T32</f>
        <v>803.57142857142867</v>
      </c>
      <c r="V32" s="29">
        <f t="shared" si="0"/>
        <v>900.00000000000011</v>
      </c>
      <c r="W32" s="25"/>
      <c r="X32" s="25">
        <v>2018</v>
      </c>
      <c r="Y32" s="62"/>
    </row>
    <row r="33" spans="2:25" ht="52.8">
      <c r="B33" s="20" t="s">
        <v>93</v>
      </c>
      <c r="C33" s="20" t="s">
        <v>36</v>
      </c>
      <c r="D33" s="20" t="s">
        <v>94</v>
      </c>
      <c r="E33" s="20" t="s">
        <v>95</v>
      </c>
      <c r="F33" s="20" t="s">
        <v>96</v>
      </c>
      <c r="G33" s="20"/>
      <c r="H33" s="20" t="s">
        <v>40</v>
      </c>
      <c r="I33" s="20">
        <v>0</v>
      </c>
      <c r="J33" s="22">
        <v>710000000</v>
      </c>
      <c r="K33" s="20" t="s">
        <v>41</v>
      </c>
      <c r="L33" s="20" t="s">
        <v>736</v>
      </c>
      <c r="M33" s="20" t="s">
        <v>42</v>
      </c>
      <c r="N33" s="20" t="s">
        <v>43</v>
      </c>
      <c r="O33" s="23" t="s">
        <v>301</v>
      </c>
      <c r="P33" s="20" t="s">
        <v>302</v>
      </c>
      <c r="Q33" s="20">
        <v>796</v>
      </c>
      <c r="R33" s="20" t="s">
        <v>54</v>
      </c>
      <c r="S33" s="93">
        <v>14</v>
      </c>
      <c r="T33" s="29">
        <v>138.39285714285714</v>
      </c>
      <c r="U33" s="29">
        <f t="shared" si="5"/>
        <v>1937.5</v>
      </c>
      <c r="V33" s="29">
        <f t="shared" si="0"/>
        <v>2170</v>
      </c>
      <c r="W33" s="25"/>
      <c r="X33" s="25">
        <v>2018</v>
      </c>
      <c r="Y33" s="62"/>
    </row>
    <row r="34" spans="2:25" ht="52.8">
      <c r="B34" s="20" t="s">
        <v>97</v>
      </c>
      <c r="C34" s="20" t="s">
        <v>36</v>
      </c>
      <c r="D34" s="20" t="s">
        <v>98</v>
      </c>
      <c r="E34" s="20" t="s">
        <v>99</v>
      </c>
      <c r="F34" s="20" t="s">
        <v>100</v>
      </c>
      <c r="G34" s="20"/>
      <c r="H34" s="20" t="s">
        <v>40</v>
      </c>
      <c r="I34" s="20">
        <v>0</v>
      </c>
      <c r="J34" s="22">
        <v>710000000</v>
      </c>
      <c r="K34" s="20" t="s">
        <v>41</v>
      </c>
      <c r="L34" s="20" t="s">
        <v>736</v>
      </c>
      <c r="M34" s="20" t="s">
        <v>42</v>
      </c>
      <c r="N34" s="20" t="s">
        <v>43</v>
      </c>
      <c r="O34" s="23" t="s">
        <v>301</v>
      </c>
      <c r="P34" s="20" t="s">
        <v>302</v>
      </c>
      <c r="Q34" s="20">
        <v>796</v>
      </c>
      <c r="R34" s="20" t="s">
        <v>54</v>
      </c>
      <c r="S34" s="93">
        <v>14</v>
      </c>
      <c r="T34" s="29">
        <v>98.214285714285708</v>
      </c>
      <c r="U34" s="29">
        <f t="shared" si="5"/>
        <v>1375</v>
      </c>
      <c r="V34" s="29">
        <f t="shared" si="0"/>
        <v>1540</v>
      </c>
      <c r="W34" s="25"/>
      <c r="X34" s="25">
        <v>2018</v>
      </c>
      <c r="Y34" s="62"/>
    </row>
    <row r="35" spans="2:25" ht="52.8">
      <c r="B35" s="20" t="s">
        <v>101</v>
      </c>
      <c r="C35" s="20" t="s">
        <v>36</v>
      </c>
      <c r="D35" s="20" t="s">
        <v>102</v>
      </c>
      <c r="E35" s="20" t="s">
        <v>103</v>
      </c>
      <c r="F35" s="20" t="s">
        <v>104</v>
      </c>
      <c r="G35" s="20"/>
      <c r="H35" s="20" t="s">
        <v>40</v>
      </c>
      <c r="I35" s="20">
        <v>0</v>
      </c>
      <c r="J35" s="22">
        <v>710000000</v>
      </c>
      <c r="K35" s="20" t="s">
        <v>41</v>
      </c>
      <c r="L35" s="20" t="s">
        <v>736</v>
      </c>
      <c r="M35" s="20" t="s">
        <v>42</v>
      </c>
      <c r="N35" s="20" t="s">
        <v>43</v>
      </c>
      <c r="O35" s="23" t="s">
        <v>301</v>
      </c>
      <c r="P35" s="20" t="s">
        <v>302</v>
      </c>
      <c r="Q35" s="20">
        <v>778</v>
      </c>
      <c r="R35" s="20" t="s">
        <v>77</v>
      </c>
      <c r="S35" s="93">
        <v>7</v>
      </c>
      <c r="T35" s="29">
        <v>1000</v>
      </c>
      <c r="U35" s="24">
        <v>0</v>
      </c>
      <c r="V35" s="24">
        <f t="shared" si="0"/>
        <v>0</v>
      </c>
      <c r="W35" s="25"/>
      <c r="X35" s="25">
        <v>2018</v>
      </c>
      <c r="Y35" s="62" t="s">
        <v>723</v>
      </c>
    </row>
    <row r="36" spans="2:25" ht="52.8">
      <c r="B36" s="20" t="s">
        <v>727</v>
      </c>
      <c r="C36" s="20" t="s">
        <v>36</v>
      </c>
      <c r="D36" s="20" t="s">
        <v>102</v>
      </c>
      <c r="E36" s="20" t="s">
        <v>103</v>
      </c>
      <c r="F36" s="20" t="s">
        <v>104</v>
      </c>
      <c r="G36" s="20"/>
      <c r="H36" s="20" t="s">
        <v>40</v>
      </c>
      <c r="I36" s="20">
        <v>0</v>
      </c>
      <c r="J36" s="22">
        <v>710000000</v>
      </c>
      <c r="K36" s="20" t="s">
        <v>41</v>
      </c>
      <c r="L36" s="20" t="s">
        <v>736</v>
      </c>
      <c r="M36" s="20" t="s">
        <v>42</v>
      </c>
      <c r="N36" s="20" t="s">
        <v>43</v>
      </c>
      <c r="O36" s="23" t="s">
        <v>301</v>
      </c>
      <c r="P36" s="20" t="s">
        <v>302</v>
      </c>
      <c r="Q36" s="20">
        <v>778</v>
      </c>
      <c r="R36" s="20" t="s">
        <v>77</v>
      </c>
      <c r="S36" s="93">
        <v>5</v>
      </c>
      <c r="T36" s="29">
        <v>1000</v>
      </c>
      <c r="U36" s="29">
        <f t="shared" ref="U36:U37" si="6">S36*T36</f>
        <v>5000</v>
      </c>
      <c r="V36" s="29">
        <f t="shared" si="0"/>
        <v>5600</v>
      </c>
      <c r="W36" s="25"/>
      <c r="X36" s="25">
        <v>2018</v>
      </c>
      <c r="Y36" s="62"/>
    </row>
    <row r="37" spans="2:25" ht="52.8">
      <c r="B37" s="20" t="s">
        <v>105</v>
      </c>
      <c r="C37" s="20" t="s">
        <v>36</v>
      </c>
      <c r="D37" s="20" t="s">
        <v>106</v>
      </c>
      <c r="E37" s="20" t="s">
        <v>107</v>
      </c>
      <c r="F37" s="20" t="s">
        <v>108</v>
      </c>
      <c r="G37" s="20"/>
      <c r="H37" s="20" t="s">
        <v>40</v>
      </c>
      <c r="I37" s="20">
        <v>0</v>
      </c>
      <c r="J37" s="22">
        <v>710000000</v>
      </c>
      <c r="K37" s="20" t="s">
        <v>41</v>
      </c>
      <c r="L37" s="20" t="s">
        <v>736</v>
      </c>
      <c r="M37" s="20" t="s">
        <v>42</v>
      </c>
      <c r="N37" s="20" t="s">
        <v>43</v>
      </c>
      <c r="O37" s="23" t="s">
        <v>301</v>
      </c>
      <c r="P37" s="20" t="s">
        <v>302</v>
      </c>
      <c r="Q37" s="20">
        <v>796</v>
      </c>
      <c r="R37" s="20" t="s">
        <v>54</v>
      </c>
      <c r="S37" s="93">
        <v>50</v>
      </c>
      <c r="T37" s="29">
        <v>187.5</v>
      </c>
      <c r="U37" s="29">
        <f t="shared" si="6"/>
        <v>9375</v>
      </c>
      <c r="V37" s="24">
        <f t="shared" si="0"/>
        <v>10500</v>
      </c>
      <c r="W37" s="25"/>
      <c r="X37" s="25">
        <v>2018</v>
      </c>
      <c r="Y37" s="62"/>
    </row>
    <row r="38" spans="2:25" ht="52.8">
      <c r="B38" s="20" t="s">
        <v>109</v>
      </c>
      <c r="C38" s="20" t="s">
        <v>36</v>
      </c>
      <c r="D38" s="20" t="s">
        <v>106</v>
      </c>
      <c r="E38" s="20" t="s">
        <v>107</v>
      </c>
      <c r="F38" s="20" t="s">
        <v>108</v>
      </c>
      <c r="G38" s="20"/>
      <c r="H38" s="20" t="s">
        <v>40</v>
      </c>
      <c r="I38" s="20">
        <v>0</v>
      </c>
      <c r="J38" s="22">
        <v>710000000</v>
      </c>
      <c r="K38" s="20" t="s">
        <v>41</v>
      </c>
      <c r="L38" s="20" t="s">
        <v>736</v>
      </c>
      <c r="M38" s="20" t="s">
        <v>42</v>
      </c>
      <c r="N38" s="20" t="s">
        <v>43</v>
      </c>
      <c r="O38" s="23" t="s">
        <v>301</v>
      </c>
      <c r="P38" s="20" t="s">
        <v>302</v>
      </c>
      <c r="Q38" s="20">
        <v>796</v>
      </c>
      <c r="R38" s="20" t="s">
        <v>54</v>
      </c>
      <c r="S38" s="93">
        <v>20</v>
      </c>
      <c r="T38" s="29">
        <v>89.285714285714292</v>
      </c>
      <c r="U38" s="29">
        <v>0</v>
      </c>
      <c r="V38" s="24">
        <f t="shared" si="0"/>
        <v>0</v>
      </c>
      <c r="W38" s="25"/>
      <c r="X38" s="25">
        <v>2018</v>
      </c>
      <c r="Y38" s="62" t="s">
        <v>724</v>
      </c>
    </row>
    <row r="39" spans="2:25" ht="52.8">
      <c r="B39" s="20" t="s">
        <v>113</v>
      </c>
      <c r="C39" s="20" t="s">
        <v>36</v>
      </c>
      <c r="D39" s="20" t="s">
        <v>110</v>
      </c>
      <c r="E39" s="20" t="s">
        <v>111</v>
      </c>
      <c r="F39" s="20" t="s">
        <v>112</v>
      </c>
      <c r="G39" s="20"/>
      <c r="H39" s="20" t="s">
        <v>40</v>
      </c>
      <c r="I39" s="20">
        <v>0</v>
      </c>
      <c r="J39" s="22">
        <v>710000000</v>
      </c>
      <c r="K39" s="20" t="s">
        <v>41</v>
      </c>
      <c r="L39" s="20" t="s">
        <v>736</v>
      </c>
      <c r="M39" s="20" t="s">
        <v>42</v>
      </c>
      <c r="N39" s="20" t="s">
        <v>43</v>
      </c>
      <c r="O39" s="23" t="s">
        <v>301</v>
      </c>
      <c r="P39" s="20" t="s">
        <v>302</v>
      </c>
      <c r="Q39" s="20">
        <v>796</v>
      </c>
      <c r="R39" s="20" t="s">
        <v>54</v>
      </c>
      <c r="S39" s="93">
        <v>7</v>
      </c>
      <c r="T39" s="29">
        <v>504.46428571428572</v>
      </c>
      <c r="U39" s="29">
        <f t="shared" ref="U39" si="7">S39*T39</f>
        <v>3531.25</v>
      </c>
      <c r="V39" s="24">
        <f t="shared" si="0"/>
        <v>3955</v>
      </c>
      <c r="W39" s="25"/>
      <c r="X39" s="25">
        <v>2018</v>
      </c>
      <c r="Y39" s="62"/>
    </row>
    <row r="40" spans="2:25" ht="52.8">
      <c r="B40" s="20" t="s">
        <v>117</v>
      </c>
      <c r="C40" s="20" t="s">
        <v>36</v>
      </c>
      <c r="D40" s="20" t="s">
        <v>114</v>
      </c>
      <c r="E40" s="20" t="s">
        <v>115</v>
      </c>
      <c r="F40" s="20" t="s">
        <v>116</v>
      </c>
      <c r="G40" s="20"/>
      <c r="H40" s="20" t="s">
        <v>40</v>
      </c>
      <c r="I40" s="20">
        <v>0</v>
      </c>
      <c r="J40" s="22">
        <v>710000000</v>
      </c>
      <c r="K40" s="20" t="s">
        <v>41</v>
      </c>
      <c r="L40" s="20" t="s">
        <v>736</v>
      </c>
      <c r="M40" s="20" t="s">
        <v>42</v>
      </c>
      <c r="N40" s="20" t="s">
        <v>43</v>
      </c>
      <c r="O40" s="23" t="s">
        <v>301</v>
      </c>
      <c r="P40" s="20" t="s">
        <v>302</v>
      </c>
      <c r="Q40" s="20">
        <v>796</v>
      </c>
      <c r="R40" s="20" t="s">
        <v>54</v>
      </c>
      <c r="S40" s="93">
        <v>25</v>
      </c>
      <c r="T40" s="24">
        <v>53.57</v>
      </c>
      <c r="U40" s="24">
        <v>0</v>
      </c>
      <c r="V40" s="24">
        <f t="shared" si="0"/>
        <v>0</v>
      </c>
      <c r="W40" s="25"/>
      <c r="X40" s="25">
        <v>2018</v>
      </c>
      <c r="Y40" s="62" t="s">
        <v>724</v>
      </c>
    </row>
    <row r="41" spans="2:25" ht="52.8">
      <c r="B41" s="20" t="s">
        <v>121</v>
      </c>
      <c r="C41" s="20" t="s">
        <v>36</v>
      </c>
      <c r="D41" s="20" t="s">
        <v>118</v>
      </c>
      <c r="E41" s="20" t="s">
        <v>119</v>
      </c>
      <c r="F41" s="20" t="s">
        <v>120</v>
      </c>
      <c r="G41" s="20"/>
      <c r="H41" s="20" t="s">
        <v>40</v>
      </c>
      <c r="I41" s="20">
        <v>0</v>
      </c>
      <c r="J41" s="22">
        <v>710000000</v>
      </c>
      <c r="K41" s="20" t="s">
        <v>41</v>
      </c>
      <c r="L41" s="20" t="s">
        <v>736</v>
      </c>
      <c r="M41" s="20" t="s">
        <v>42</v>
      </c>
      <c r="N41" s="20" t="s">
        <v>43</v>
      </c>
      <c r="O41" s="23" t="s">
        <v>301</v>
      </c>
      <c r="P41" s="20" t="s">
        <v>302</v>
      </c>
      <c r="Q41" s="20">
        <v>796</v>
      </c>
      <c r="R41" s="20" t="s">
        <v>54</v>
      </c>
      <c r="S41" s="93">
        <v>30</v>
      </c>
      <c r="T41" s="24">
        <v>3125</v>
      </c>
      <c r="U41" s="24">
        <v>0</v>
      </c>
      <c r="V41" s="24">
        <f t="shared" si="0"/>
        <v>0</v>
      </c>
      <c r="W41" s="25"/>
      <c r="X41" s="25">
        <v>2018</v>
      </c>
      <c r="Y41" s="62" t="s">
        <v>723</v>
      </c>
    </row>
    <row r="42" spans="2:25" ht="52.8">
      <c r="B42" s="20" t="s">
        <v>728</v>
      </c>
      <c r="C42" s="20" t="s">
        <v>36</v>
      </c>
      <c r="D42" s="20" t="s">
        <v>118</v>
      </c>
      <c r="E42" s="20" t="s">
        <v>119</v>
      </c>
      <c r="F42" s="20" t="s">
        <v>120</v>
      </c>
      <c r="G42" s="20"/>
      <c r="H42" s="20" t="s">
        <v>40</v>
      </c>
      <c r="I42" s="20">
        <v>0</v>
      </c>
      <c r="J42" s="22">
        <v>710000000</v>
      </c>
      <c r="K42" s="20" t="s">
        <v>41</v>
      </c>
      <c r="L42" s="20" t="s">
        <v>736</v>
      </c>
      <c r="M42" s="20" t="s">
        <v>42</v>
      </c>
      <c r="N42" s="20" t="s">
        <v>43</v>
      </c>
      <c r="O42" s="23" t="s">
        <v>301</v>
      </c>
      <c r="P42" s="20" t="s">
        <v>302</v>
      </c>
      <c r="Q42" s="20">
        <v>796</v>
      </c>
      <c r="R42" s="20" t="s">
        <v>54</v>
      </c>
      <c r="S42" s="93">
        <v>10</v>
      </c>
      <c r="T42" s="29">
        <v>3125</v>
      </c>
      <c r="U42" s="29">
        <f t="shared" ref="U42" si="8">S42*T42</f>
        <v>31250</v>
      </c>
      <c r="V42" s="24">
        <f t="shared" si="0"/>
        <v>35000</v>
      </c>
      <c r="W42" s="25"/>
      <c r="X42" s="25">
        <v>2018</v>
      </c>
      <c r="Y42" s="62"/>
    </row>
    <row r="43" spans="2:25" ht="52.8">
      <c r="B43" s="20" t="s">
        <v>123</v>
      </c>
      <c r="C43" s="20" t="s">
        <v>36</v>
      </c>
      <c r="D43" s="20" t="s">
        <v>118</v>
      </c>
      <c r="E43" s="20" t="s">
        <v>119</v>
      </c>
      <c r="F43" s="20" t="s">
        <v>122</v>
      </c>
      <c r="G43" s="20"/>
      <c r="H43" s="20" t="s">
        <v>40</v>
      </c>
      <c r="I43" s="20">
        <v>0</v>
      </c>
      <c r="J43" s="22">
        <v>710000000</v>
      </c>
      <c r="K43" s="20" t="s">
        <v>41</v>
      </c>
      <c r="L43" s="20" t="s">
        <v>736</v>
      </c>
      <c r="M43" s="20" t="s">
        <v>42</v>
      </c>
      <c r="N43" s="20" t="s">
        <v>43</v>
      </c>
      <c r="O43" s="23" t="s">
        <v>301</v>
      </c>
      <c r="P43" s="20" t="s">
        <v>302</v>
      </c>
      <c r="Q43" s="20">
        <v>796</v>
      </c>
      <c r="R43" s="20" t="s">
        <v>54</v>
      </c>
      <c r="S43" s="93">
        <v>3</v>
      </c>
      <c r="T43" s="29">
        <v>2008.9285714285713</v>
      </c>
      <c r="U43" s="24">
        <v>0</v>
      </c>
      <c r="V43" s="24">
        <f t="shared" si="0"/>
        <v>0</v>
      </c>
      <c r="W43" s="25"/>
      <c r="X43" s="25">
        <v>2018</v>
      </c>
      <c r="Y43" s="62" t="s">
        <v>723</v>
      </c>
    </row>
    <row r="44" spans="2:25" ht="52.8">
      <c r="B44" s="20" t="s">
        <v>729</v>
      </c>
      <c r="C44" s="20" t="s">
        <v>36</v>
      </c>
      <c r="D44" s="20" t="s">
        <v>118</v>
      </c>
      <c r="E44" s="20" t="s">
        <v>119</v>
      </c>
      <c r="F44" s="20" t="s">
        <v>122</v>
      </c>
      <c r="G44" s="20"/>
      <c r="H44" s="20" t="s">
        <v>40</v>
      </c>
      <c r="I44" s="20">
        <v>0</v>
      </c>
      <c r="J44" s="22">
        <v>710000000</v>
      </c>
      <c r="K44" s="20" t="s">
        <v>41</v>
      </c>
      <c r="L44" s="20" t="s">
        <v>736</v>
      </c>
      <c r="M44" s="20" t="s">
        <v>42</v>
      </c>
      <c r="N44" s="20" t="s">
        <v>43</v>
      </c>
      <c r="O44" s="23" t="s">
        <v>301</v>
      </c>
      <c r="P44" s="20" t="s">
        <v>302</v>
      </c>
      <c r="Q44" s="20">
        <v>796</v>
      </c>
      <c r="R44" s="20" t="s">
        <v>54</v>
      </c>
      <c r="S44" s="93">
        <v>2</v>
      </c>
      <c r="T44" s="29">
        <v>2008.9285714285713</v>
      </c>
      <c r="U44" s="29">
        <f t="shared" ref="U44" si="9">S44*T44</f>
        <v>4017.8571428571427</v>
      </c>
      <c r="V44" s="24">
        <f t="shared" si="0"/>
        <v>4500</v>
      </c>
      <c r="W44" s="25"/>
      <c r="X44" s="25">
        <v>2018</v>
      </c>
      <c r="Y44" s="62"/>
    </row>
    <row r="45" spans="2:25" ht="52.8">
      <c r="B45" s="20" t="s">
        <v>127</v>
      </c>
      <c r="C45" s="20" t="s">
        <v>36</v>
      </c>
      <c r="D45" s="20" t="s">
        <v>124</v>
      </c>
      <c r="E45" s="20" t="s">
        <v>125</v>
      </c>
      <c r="F45" s="20" t="s">
        <v>126</v>
      </c>
      <c r="G45" s="20"/>
      <c r="H45" s="20" t="s">
        <v>40</v>
      </c>
      <c r="I45" s="20">
        <v>0</v>
      </c>
      <c r="J45" s="22">
        <v>710000000</v>
      </c>
      <c r="K45" s="20" t="s">
        <v>41</v>
      </c>
      <c r="L45" s="20" t="s">
        <v>736</v>
      </c>
      <c r="M45" s="20" t="s">
        <v>42</v>
      </c>
      <c r="N45" s="20" t="s">
        <v>43</v>
      </c>
      <c r="O45" s="23" t="s">
        <v>301</v>
      </c>
      <c r="P45" s="20" t="s">
        <v>302</v>
      </c>
      <c r="Q45" s="20">
        <v>778</v>
      </c>
      <c r="R45" s="20" t="s">
        <v>77</v>
      </c>
      <c r="S45" s="93">
        <v>50</v>
      </c>
      <c r="T45" s="29">
        <v>714.28571428571433</v>
      </c>
      <c r="U45" s="24">
        <v>0</v>
      </c>
      <c r="V45" s="24">
        <f t="shared" si="0"/>
        <v>0</v>
      </c>
      <c r="W45" s="25"/>
      <c r="X45" s="25">
        <v>2018</v>
      </c>
      <c r="Y45" s="62" t="s">
        <v>723</v>
      </c>
    </row>
    <row r="46" spans="2:25" ht="52.8">
      <c r="B46" s="20" t="s">
        <v>755</v>
      </c>
      <c r="C46" s="20" t="s">
        <v>36</v>
      </c>
      <c r="D46" s="20" t="s">
        <v>124</v>
      </c>
      <c r="E46" s="20" t="s">
        <v>125</v>
      </c>
      <c r="F46" s="20" t="s">
        <v>126</v>
      </c>
      <c r="G46" s="20"/>
      <c r="H46" s="20" t="s">
        <v>40</v>
      </c>
      <c r="I46" s="20">
        <v>0</v>
      </c>
      <c r="J46" s="22">
        <v>710000000</v>
      </c>
      <c r="K46" s="20" t="s">
        <v>41</v>
      </c>
      <c r="L46" s="20" t="s">
        <v>736</v>
      </c>
      <c r="M46" s="20" t="s">
        <v>42</v>
      </c>
      <c r="N46" s="20" t="s">
        <v>43</v>
      </c>
      <c r="O46" s="23" t="s">
        <v>301</v>
      </c>
      <c r="P46" s="20" t="s">
        <v>302</v>
      </c>
      <c r="Q46" s="20">
        <v>778</v>
      </c>
      <c r="R46" s="20" t="s">
        <v>77</v>
      </c>
      <c r="S46" s="93">
        <v>25</v>
      </c>
      <c r="T46" s="29">
        <v>714.28571428571433</v>
      </c>
      <c r="U46" s="29">
        <f t="shared" ref="U46" si="10">S46*T46</f>
        <v>17857.142857142859</v>
      </c>
      <c r="V46" s="24">
        <f t="shared" si="0"/>
        <v>20000</v>
      </c>
      <c r="W46" s="25"/>
      <c r="X46" s="25">
        <v>2018</v>
      </c>
      <c r="Y46" s="62"/>
    </row>
    <row r="47" spans="2:25" ht="52.8">
      <c r="B47" s="20" t="s">
        <v>130</v>
      </c>
      <c r="C47" s="20" t="s">
        <v>36</v>
      </c>
      <c r="D47" s="20" t="s">
        <v>128</v>
      </c>
      <c r="E47" s="20" t="s">
        <v>38</v>
      </c>
      <c r="F47" s="20" t="s">
        <v>129</v>
      </c>
      <c r="G47" s="20"/>
      <c r="H47" s="20" t="s">
        <v>40</v>
      </c>
      <c r="I47" s="20">
        <v>0</v>
      </c>
      <c r="J47" s="22">
        <v>710000000</v>
      </c>
      <c r="K47" s="20" t="s">
        <v>41</v>
      </c>
      <c r="L47" s="20" t="s">
        <v>736</v>
      </c>
      <c r="M47" s="20" t="s">
        <v>42</v>
      </c>
      <c r="N47" s="20" t="s">
        <v>43</v>
      </c>
      <c r="O47" s="23" t="s">
        <v>301</v>
      </c>
      <c r="P47" s="20" t="s">
        <v>302</v>
      </c>
      <c r="Q47" s="20">
        <v>796</v>
      </c>
      <c r="R47" s="20" t="s">
        <v>54</v>
      </c>
      <c r="S47" s="93">
        <v>4</v>
      </c>
      <c r="T47" s="24">
        <v>2004</v>
      </c>
      <c r="U47" s="24">
        <v>0</v>
      </c>
      <c r="V47" s="24">
        <f t="shared" si="0"/>
        <v>0</v>
      </c>
      <c r="W47" s="25"/>
      <c r="X47" s="25">
        <v>2018</v>
      </c>
      <c r="Y47" s="62" t="s">
        <v>724</v>
      </c>
    </row>
    <row r="48" spans="2:25" ht="52.8">
      <c r="B48" s="20" t="s">
        <v>134</v>
      </c>
      <c r="C48" s="20" t="s">
        <v>36</v>
      </c>
      <c r="D48" s="20" t="s">
        <v>131</v>
      </c>
      <c r="E48" s="20" t="s">
        <v>132</v>
      </c>
      <c r="F48" s="20" t="s">
        <v>133</v>
      </c>
      <c r="G48" s="20"/>
      <c r="H48" s="20" t="s">
        <v>40</v>
      </c>
      <c r="I48" s="20">
        <v>0</v>
      </c>
      <c r="J48" s="22">
        <v>710000000</v>
      </c>
      <c r="K48" s="20" t="s">
        <v>41</v>
      </c>
      <c r="L48" s="20" t="s">
        <v>736</v>
      </c>
      <c r="M48" s="20" t="s">
        <v>42</v>
      </c>
      <c r="N48" s="20" t="s">
        <v>43</v>
      </c>
      <c r="O48" s="23" t="s">
        <v>301</v>
      </c>
      <c r="P48" s="20" t="s">
        <v>302</v>
      </c>
      <c r="Q48" s="20">
        <v>796</v>
      </c>
      <c r="R48" s="20" t="s">
        <v>54</v>
      </c>
      <c r="S48" s="93">
        <v>20</v>
      </c>
      <c r="T48" s="29">
        <v>174.10714285714286</v>
      </c>
      <c r="U48" s="24">
        <v>0</v>
      </c>
      <c r="V48" s="24">
        <f t="shared" si="0"/>
        <v>0</v>
      </c>
      <c r="W48" s="25"/>
      <c r="X48" s="25">
        <v>2018</v>
      </c>
      <c r="Y48" s="62" t="s">
        <v>723</v>
      </c>
    </row>
    <row r="49" spans="2:25" ht="52.8">
      <c r="B49" s="20" t="s">
        <v>756</v>
      </c>
      <c r="C49" s="20" t="s">
        <v>36</v>
      </c>
      <c r="D49" s="20" t="s">
        <v>131</v>
      </c>
      <c r="E49" s="20" t="s">
        <v>132</v>
      </c>
      <c r="F49" s="20" t="s">
        <v>133</v>
      </c>
      <c r="G49" s="20"/>
      <c r="H49" s="20" t="s">
        <v>40</v>
      </c>
      <c r="I49" s="20">
        <v>0</v>
      </c>
      <c r="J49" s="22">
        <v>710000000</v>
      </c>
      <c r="K49" s="20" t="s">
        <v>41</v>
      </c>
      <c r="L49" s="20" t="s">
        <v>736</v>
      </c>
      <c r="M49" s="20" t="s">
        <v>42</v>
      </c>
      <c r="N49" s="20" t="s">
        <v>43</v>
      </c>
      <c r="O49" s="23" t="s">
        <v>301</v>
      </c>
      <c r="P49" s="20" t="s">
        <v>302</v>
      </c>
      <c r="Q49" s="20">
        <v>796</v>
      </c>
      <c r="R49" s="20" t="s">
        <v>54</v>
      </c>
      <c r="S49" s="93">
        <v>10</v>
      </c>
      <c r="T49" s="29">
        <v>174.10714285714286</v>
      </c>
      <c r="U49" s="29">
        <f t="shared" ref="U49" si="11">S49*T49</f>
        <v>1741.0714285714287</v>
      </c>
      <c r="V49" s="24">
        <f t="shared" si="0"/>
        <v>1950</v>
      </c>
      <c r="W49" s="25"/>
      <c r="X49" s="25">
        <v>2018</v>
      </c>
      <c r="Y49" s="62"/>
    </row>
    <row r="50" spans="2:25" ht="52.8">
      <c r="B50" s="20" t="s">
        <v>138</v>
      </c>
      <c r="C50" s="20" t="s">
        <v>36</v>
      </c>
      <c r="D50" s="20" t="s">
        <v>135</v>
      </c>
      <c r="E50" s="20" t="s">
        <v>136</v>
      </c>
      <c r="F50" s="20" t="s">
        <v>137</v>
      </c>
      <c r="G50" s="20"/>
      <c r="H50" s="20" t="s">
        <v>40</v>
      </c>
      <c r="I50" s="20">
        <v>0</v>
      </c>
      <c r="J50" s="22">
        <v>710000000</v>
      </c>
      <c r="K50" s="20" t="s">
        <v>41</v>
      </c>
      <c r="L50" s="20" t="s">
        <v>736</v>
      </c>
      <c r="M50" s="20" t="s">
        <v>42</v>
      </c>
      <c r="N50" s="20" t="s">
        <v>43</v>
      </c>
      <c r="O50" s="23" t="s">
        <v>301</v>
      </c>
      <c r="P50" s="20" t="s">
        <v>302</v>
      </c>
      <c r="Q50" s="20">
        <v>796</v>
      </c>
      <c r="R50" s="20" t="s">
        <v>54</v>
      </c>
      <c r="S50" s="93">
        <v>10</v>
      </c>
      <c r="T50" s="24">
        <v>214</v>
      </c>
      <c r="U50" s="24">
        <v>0</v>
      </c>
      <c r="V50" s="24">
        <f t="shared" si="0"/>
        <v>0</v>
      </c>
      <c r="W50" s="25"/>
      <c r="X50" s="25">
        <v>2018</v>
      </c>
      <c r="Y50" s="62" t="s">
        <v>724</v>
      </c>
    </row>
    <row r="51" spans="2:25" ht="52.8">
      <c r="B51" s="20" t="s">
        <v>142</v>
      </c>
      <c r="C51" s="20" t="s">
        <v>36</v>
      </c>
      <c r="D51" s="20" t="s">
        <v>139</v>
      </c>
      <c r="E51" s="20" t="s">
        <v>140</v>
      </c>
      <c r="F51" s="20" t="s">
        <v>141</v>
      </c>
      <c r="G51" s="20"/>
      <c r="H51" s="20" t="s">
        <v>40</v>
      </c>
      <c r="I51" s="20">
        <v>0</v>
      </c>
      <c r="J51" s="22">
        <v>710000000</v>
      </c>
      <c r="K51" s="20" t="s">
        <v>41</v>
      </c>
      <c r="L51" s="20" t="s">
        <v>736</v>
      </c>
      <c r="M51" s="20" t="s">
        <v>42</v>
      </c>
      <c r="N51" s="20" t="s">
        <v>43</v>
      </c>
      <c r="O51" s="23" t="s">
        <v>301</v>
      </c>
      <c r="P51" s="20" t="s">
        <v>302</v>
      </c>
      <c r="Q51" s="20">
        <v>796</v>
      </c>
      <c r="R51" s="20" t="s">
        <v>54</v>
      </c>
      <c r="S51" s="93">
        <v>10</v>
      </c>
      <c r="T51" s="29">
        <v>665.17857142857144</v>
      </c>
      <c r="U51" s="29">
        <f t="shared" ref="U51" si="12">S51*T51</f>
        <v>6651.7857142857147</v>
      </c>
      <c r="V51" s="24">
        <f t="shared" si="0"/>
        <v>7450</v>
      </c>
      <c r="W51" s="25"/>
      <c r="X51" s="25">
        <v>2018</v>
      </c>
      <c r="Y51" s="62"/>
    </row>
    <row r="52" spans="2:25" ht="52.8">
      <c r="B52" s="20" t="s">
        <v>146</v>
      </c>
      <c r="C52" s="20" t="s">
        <v>36</v>
      </c>
      <c r="D52" s="20" t="s">
        <v>143</v>
      </c>
      <c r="E52" s="20" t="s">
        <v>144</v>
      </c>
      <c r="F52" s="20" t="s">
        <v>145</v>
      </c>
      <c r="G52" s="20"/>
      <c r="H52" s="20" t="s">
        <v>40</v>
      </c>
      <c r="I52" s="20">
        <v>0</v>
      </c>
      <c r="J52" s="22">
        <v>710000000</v>
      </c>
      <c r="K52" s="20" t="s">
        <v>41</v>
      </c>
      <c r="L52" s="20" t="s">
        <v>736</v>
      </c>
      <c r="M52" s="20" t="s">
        <v>42</v>
      </c>
      <c r="N52" s="20" t="s">
        <v>43</v>
      </c>
      <c r="O52" s="23" t="s">
        <v>301</v>
      </c>
      <c r="P52" s="20" t="s">
        <v>302</v>
      </c>
      <c r="Q52" s="20">
        <v>796</v>
      </c>
      <c r="R52" s="20" t="s">
        <v>54</v>
      </c>
      <c r="S52" s="93">
        <v>10</v>
      </c>
      <c r="T52" s="29">
        <v>1071.4285714285713</v>
      </c>
      <c r="U52" s="24">
        <v>0</v>
      </c>
      <c r="V52" s="24">
        <f t="shared" si="0"/>
        <v>0</v>
      </c>
      <c r="W52" s="25"/>
      <c r="X52" s="25">
        <v>2018</v>
      </c>
      <c r="Y52" s="62" t="s">
        <v>723</v>
      </c>
    </row>
    <row r="53" spans="2:25" ht="52.8">
      <c r="B53" s="20" t="s">
        <v>757</v>
      </c>
      <c r="C53" s="20" t="s">
        <v>36</v>
      </c>
      <c r="D53" s="20" t="s">
        <v>143</v>
      </c>
      <c r="E53" s="20" t="s">
        <v>144</v>
      </c>
      <c r="F53" s="20" t="s">
        <v>145</v>
      </c>
      <c r="G53" s="20"/>
      <c r="H53" s="20" t="s">
        <v>40</v>
      </c>
      <c r="I53" s="20">
        <v>0</v>
      </c>
      <c r="J53" s="22">
        <v>710000000</v>
      </c>
      <c r="K53" s="20" t="s">
        <v>41</v>
      </c>
      <c r="L53" s="20" t="s">
        <v>736</v>
      </c>
      <c r="M53" s="20" t="s">
        <v>42</v>
      </c>
      <c r="N53" s="20" t="s">
        <v>43</v>
      </c>
      <c r="O53" s="23" t="s">
        <v>301</v>
      </c>
      <c r="P53" s="20" t="s">
        <v>302</v>
      </c>
      <c r="Q53" s="20">
        <v>796</v>
      </c>
      <c r="R53" s="20" t="s">
        <v>54</v>
      </c>
      <c r="S53" s="93">
        <v>5</v>
      </c>
      <c r="T53" s="29">
        <v>1071.4285714285713</v>
      </c>
      <c r="U53" s="29">
        <f t="shared" ref="U53" si="13">S53*T53</f>
        <v>5357.1428571428569</v>
      </c>
      <c r="V53" s="24">
        <f t="shared" si="0"/>
        <v>6000</v>
      </c>
      <c r="W53" s="25"/>
      <c r="X53" s="25">
        <v>2018</v>
      </c>
      <c r="Y53" s="62"/>
    </row>
    <row r="54" spans="2:25" ht="52.8">
      <c r="B54" s="20" t="s">
        <v>150</v>
      </c>
      <c r="C54" s="20" t="s">
        <v>36</v>
      </c>
      <c r="D54" s="20" t="s">
        <v>147</v>
      </c>
      <c r="E54" s="20" t="s">
        <v>148</v>
      </c>
      <c r="F54" s="20" t="s">
        <v>149</v>
      </c>
      <c r="G54" s="20"/>
      <c r="H54" s="20" t="s">
        <v>40</v>
      </c>
      <c r="I54" s="20">
        <v>0</v>
      </c>
      <c r="J54" s="22">
        <v>710000000</v>
      </c>
      <c r="K54" s="20" t="s">
        <v>41</v>
      </c>
      <c r="L54" s="20" t="s">
        <v>736</v>
      </c>
      <c r="M54" s="20" t="s">
        <v>42</v>
      </c>
      <c r="N54" s="20" t="s">
        <v>43</v>
      </c>
      <c r="O54" s="23" t="s">
        <v>301</v>
      </c>
      <c r="P54" s="20" t="s">
        <v>302</v>
      </c>
      <c r="Q54" s="20">
        <v>778</v>
      </c>
      <c r="R54" s="20" t="s">
        <v>77</v>
      </c>
      <c r="S54" s="93">
        <v>10</v>
      </c>
      <c r="T54" s="24">
        <v>187</v>
      </c>
      <c r="U54" s="24">
        <v>0</v>
      </c>
      <c r="V54" s="24">
        <f t="shared" si="0"/>
        <v>0</v>
      </c>
      <c r="W54" s="25"/>
      <c r="X54" s="25">
        <v>2018</v>
      </c>
      <c r="Y54" s="62" t="s">
        <v>724</v>
      </c>
    </row>
    <row r="55" spans="2:25" ht="52.8">
      <c r="B55" s="20" t="s">
        <v>154</v>
      </c>
      <c r="C55" s="20" t="s">
        <v>36</v>
      </c>
      <c r="D55" s="20" t="s">
        <v>151</v>
      </c>
      <c r="E55" s="20" t="s">
        <v>152</v>
      </c>
      <c r="F55" s="20" t="s">
        <v>153</v>
      </c>
      <c r="G55" s="20"/>
      <c r="H55" s="20" t="s">
        <v>40</v>
      </c>
      <c r="I55" s="20">
        <v>0</v>
      </c>
      <c r="J55" s="22">
        <v>710000000</v>
      </c>
      <c r="K55" s="20" t="s">
        <v>41</v>
      </c>
      <c r="L55" s="20" t="s">
        <v>736</v>
      </c>
      <c r="M55" s="20" t="s">
        <v>42</v>
      </c>
      <c r="N55" s="20" t="s">
        <v>43</v>
      </c>
      <c r="O55" s="23" t="s">
        <v>301</v>
      </c>
      <c r="P55" s="20" t="s">
        <v>302</v>
      </c>
      <c r="Q55" s="20">
        <v>796</v>
      </c>
      <c r="R55" s="20" t="s">
        <v>54</v>
      </c>
      <c r="S55" s="93">
        <v>20</v>
      </c>
      <c r="T55" s="29">
        <v>339.28571428571428</v>
      </c>
      <c r="U55" s="24">
        <v>0</v>
      </c>
      <c r="V55" s="24">
        <f t="shared" si="0"/>
        <v>0</v>
      </c>
      <c r="W55" s="25"/>
      <c r="X55" s="25">
        <v>2018</v>
      </c>
      <c r="Y55" s="62" t="s">
        <v>723</v>
      </c>
    </row>
    <row r="56" spans="2:25" ht="52.8">
      <c r="B56" s="20" t="s">
        <v>758</v>
      </c>
      <c r="C56" s="20" t="s">
        <v>36</v>
      </c>
      <c r="D56" s="20" t="s">
        <v>151</v>
      </c>
      <c r="E56" s="20" t="s">
        <v>152</v>
      </c>
      <c r="F56" s="20" t="s">
        <v>153</v>
      </c>
      <c r="G56" s="20"/>
      <c r="H56" s="20" t="s">
        <v>40</v>
      </c>
      <c r="I56" s="20">
        <v>0</v>
      </c>
      <c r="J56" s="22">
        <v>710000000</v>
      </c>
      <c r="K56" s="20" t="s">
        <v>41</v>
      </c>
      <c r="L56" s="20" t="s">
        <v>736</v>
      </c>
      <c r="M56" s="20" t="s">
        <v>42</v>
      </c>
      <c r="N56" s="20" t="s">
        <v>43</v>
      </c>
      <c r="O56" s="23" t="s">
        <v>301</v>
      </c>
      <c r="P56" s="20" t="s">
        <v>302</v>
      </c>
      <c r="Q56" s="20">
        <v>796</v>
      </c>
      <c r="R56" s="20" t="s">
        <v>54</v>
      </c>
      <c r="S56" s="93">
        <v>10</v>
      </c>
      <c r="T56" s="29">
        <v>339.28571428571428</v>
      </c>
      <c r="U56" s="29">
        <f t="shared" ref="U56" si="14">S56*T56</f>
        <v>3392.8571428571427</v>
      </c>
      <c r="V56" s="24">
        <f t="shared" si="0"/>
        <v>3800</v>
      </c>
      <c r="W56" s="25"/>
      <c r="X56" s="25">
        <v>2018</v>
      </c>
      <c r="Y56" s="62"/>
    </row>
    <row r="57" spans="2:25" ht="52.8">
      <c r="B57" s="20" t="s">
        <v>158</v>
      </c>
      <c r="C57" s="20" t="s">
        <v>36</v>
      </c>
      <c r="D57" s="20" t="s">
        <v>155</v>
      </c>
      <c r="E57" s="20" t="s">
        <v>156</v>
      </c>
      <c r="F57" s="20" t="s">
        <v>157</v>
      </c>
      <c r="G57" s="20"/>
      <c r="H57" s="20" t="s">
        <v>40</v>
      </c>
      <c r="I57" s="20">
        <v>0</v>
      </c>
      <c r="J57" s="22">
        <v>710000000</v>
      </c>
      <c r="K57" s="20" t="s">
        <v>41</v>
      </c>
      <c r="L57" s="20" t="s">
        <v>736</v>
      </c>
      <c r="M57" s="20" t="s">
        <v>42</v>
      </c>
      <c r="N57" s="20" t="s">
        <v>43</v>
      </c>
      <c r="O57" s="23" t="s">
        <v>301</v>
      </c>
      <c r="P57" s="20" t="s">
        <v>302</v>
      </c>
      <c r="Q57" s="20">
        <v>796</v>
      </c>
      <c r="R57" s="20" t="s">
        <v>54</v>
      </c>
      <c r="S57" s="93">
        <v>20</v>
      </c>
      <c r="T57" s="24">
        <v>17.8</v>
      </c>
      <c r="U57" s="24">
        <v>0</v>
      </c>
      <c r="V57" s="24">
        <f t="shared" si="0"/>
        <v>0</v>
      </c>
      <c r="W57" s="25"/>
      <c r="X57" s="25">
        <v>2018</v>
      </c>
      <c r="Y57" s="62" t="s">
        <v>724</v>
      </c>
    </row>
    <row r="58" spans="2:25" ht="52.8">
      <c r="B58" s="20" t="s">
        <v>160</v>
      </c>
      <c r="C58" s="20" t="s">
        <v>36</v>
      </c>
      <c r="D58" s="20" t="s">
        <v>155</v>
      </c>
      <c r="E58" s="20" t="s">
        <v>156</v>
      </c>
      <c r="F58" s="20" t="s">
        <v>159</v>
      </c>
      <c r="G58" s="20"/>
      <c r="H58" s="20" t="s">
        <v>40</v>
      </c>
      <c r="I58" s="20">
        <v>0</v>
      </c>
      <c r="J58" s="22">
        <v>710000000</v>
      </c>
      <c r="K58" s="20" t="s">
        <v>41</v>
      </c>
      <c r="L58" s="20" t="s">
        <v>736</v>
      </c>
      <c r="M58" s="20" t="s">
        <v>42</v>
      </c>
      <c r="N58" s="20" t="s">
        <v>43</v>
      </c>
      <c r="O58" s="23" t="s">
        <v>301</v>
      </c>
      <c r="P58" s="20" t="s">
        <v>302</v>
      </c>
      <c r="Q58" s="20">
        <v>796</v>
      </c>
      <c r="R58" s="20" t="s">
        <v>54</v>
      </c>
      <c r="S58" s="93">
        <v>20</v>
      </c>
      <c r="T58" s="24">
        <v>40.17</v>
      </c>
      <c r="U58" s="24">
        <v>0</v>
      </c>
      <c r="V58" s="24">
        <f t="shared" si="0"/>
        <v>0</v>
      </c>
      <c r="W58" s="25"/>
      <c r="X58" s="25">
        <v>2018</v>
      </c>
      <c r="Y58" s="62" t="s">
        <v>724</v>
      </c>
    </row>
    <row r="59" spans="2:25" ht="52.8">
      <c r="B59" s="20" t="s">
        <v>164</v>
      </c>
      <c r="C59" s="20" t="s">
        <v>36</v>
      </c>
      <c r="D59" s="20" t="s">
        <v>161</v>
      </c>
      <c r="E59" s="20" t="s">
        <v>162</v>
      </c>
      <c r="F59" s="20" t="s">
        <v>163</v>
      </c>
      <c r="G59" s="20"/>
      <c r="H59" s="20" t="s">
        <v>40</v>
      </c>
      <c r="I59" s="20">
        <v>0</v>
      </c>
      <c r="J59" s="22">
        <v>710000000</v>
      </c>
      <c r="K59" s="20" t="s">
        <v>41</v>
      </c>
      <c r="L59" s="20" t="s">
        <v>736</v>
      </c>
      <c r="M59" s="20" t="s">
        <v>42</v>
      </c>
      <c r="N59" s="20" t="s">
        <v>43</v>
      </c>
      <c r="O59" s="23" t="s">
        <v>301</v>
      </c>
      <c r="P59" s="20" t="s">
        <v>302</v>
      </c>
      <c r="Q59" s="20">
        <v>796</v>
      </c>
      <c r="R59" s="20" t="s">
        <v>54</v>
      </c>
      <c r="S59" s="93">
        <v>10</v>
      </c>
      <c r="T59" s="24">
        <v>267</v>
      </c>
      <c r="U59" s="24">
        <v>0</v>
      </c>
      <c r="V59" s="24">
        <f t="shared" si="0"/>
        <v>0</v>
      </c>
      <c r="W59" s="25"/>
      <c r="X59" s="25">
        <v>2018</v>
      </c>
      <c r="Y59" s="62" t="s">
        <v>724</v>
      </c>
    </row>
    <row r="60" spans="2:25" ht="52.8">
      <c r="B60" s="20" t="s">
        <v>168</v>
      </c>
      <c r="C60" s="20" t="s">
        <v>36</v>
      </c>
      <c r="D60" s="20" t="s">
        <v>165</v>
      </c>
      <c r="E60" s="20" t="s">
        <v>166</v>
      </c>
      <c r="F60" s="20" t="s">
        <v>167</v>
      </c>
      <c r="G60" s="20"/>
      <c r="H60" s="20" t="s">
        <v>40</v>
      </c>
      <c r="I60" s="20">
        <v>0</v>
      </c>
      <c r="J60" s="22">
        <v>710000000</v>
      </c>
      <c r="K60" s="20" t="s">
        <v>41</v>
      </c>
      <c r="L60" s="20" t="s">
        <v>736</v>
      </c>
      <c r="M60" s="20" t="s">
        <v>42</v>
      </c>
      <c r="N60" s="20" t="s">
        <v>43</v>
      </c>
      <c r="O60" s="23" t="s">
        <v>301</v>
      </c>
      <c r="P60" s="20" t="s">
        <v>302</v>
      </c>
      <c r="Q60" s="20">
        <v>796</v>
      </c>
      <c r="R60" s="20" t="s">
        <v>54</v>
      </c>
      <c r="S60" s="93">
        <v>10</v>
      </c>
      <c r="T60" s="29">
        <v>982.14285714285711</v>
      </c>
      <c r="U60" s="24">
        <v>0</v>
      </c>
      <c r="V60" s="24">
        <f t="shared" si="0"/>
        <v>0</v>
      </c>
      <c r="W60" s="25"/>
      <c r="X60" s="25">
        <v>2018</v>
      </c>
      <c r="Y60" s="62" t="s">
        <v>723</v>
      </c>
    </row>
    <row r="61" spans="2:25" ht="52.8">
      <c r="B61" s="20" t="s">
        <v>730</v>
      </c>
      <c r="C61" s="20" t="s">
        <v>36</v>
      </c>
      <c r="D61" s="20" t="s">
        <v>165</v>
      </c>
      <c r="E61" s="20" t="s">
        <v>166</v>
      </c>
      <c r="F61" s="20" t="s">
        <v>167</v>
      </c>
      <c r="G61" s="20"/>
      <c r="H61" s="20" t="s">
        <v>40</v>
      </c>
      <c r="I61" s="20">
        <v>0</v>
      </c>
      <c r="J61" s="22">
        <v>710000000</v>
      </c>
      <c r="K61" s="20" t="s">
        <v>41</v>
      </c>
      <c r="L61" s="20" t="s">
        <v>736</v>
      </c>
      <c r="M61" s="20" t="s">
        <v>42</v>
      </c>
      <c r="N61" s="20" t="s">
        <v>43</v>
      </c>
      <c r="O61" s="23" t="s">
        <v>301</v>
      </c>
      <c r="P61" s="20" t="s">
        <v>302</v>
      </c>
      <c r="Q61" s="20">
        <v>796</v>
      </c>
      <c r="R61" s="20" t="s">
        <v>54</v>
      </c>
      <c r="S61" s="93">
        <v>5</v>
      </c>
      <c r="T61" s="29">
        <v>982.14285714285711</v>
      </c>
      <c r="U61" s="29">
        <f t="shared" ref="U61" si="15">S61*T61</f>
        <v>4910.7142857142853</v>
      </c>
      <c r="V61" s="24">
        <f t="shared" si="0"/>
        <v>5500</v>
      </c>
      <c r="W61" s="25"/>
      <c r="X61" s="25">
        <v>2018</v>
      </c>
      <c r="Y61" s="62"/>
    </row>
    <row r="62" spans="2:25" ht="52.8">
      <c r="B62" s="20" t="s">
        <v>170</v>
      </c>
      <c r="C62" s="20" t="s">
        <v>36</v>
      </c>
      <c r="D62" s="20" t="s">
        <v>165</v>
      </c>
      <c r="E62" s="20" t="s">
        <v>166</v>
      </c>
      <c r="F62" s="20" t="s">
        <v>169</v>
      </c>
      <c r="G62" s="20"/>
      <c r="H62" s="20" t="s">
        <v>40</v>
      </c>
      <c r="I62" s="20">
        <v>0</v>
      </c>
      <c r="J62" s="22">
        <v>710000000</v>
      </c>
      <c r="K62" s="20" t="s">
        <v>41</v>
      </c>
      <c r="L62" s="20" t="s">
        <v>736</v>
      </c>
      <c r="M62" s="20" t="s">
        <v>42</v>
      </c>
      <c r="N62" s="20" t="s">
        <v>43</v>
      </c>
      <c r="O62" s="23" t="s">
        <v>301</v>
      </c>
      <c r="P62" s="20" t="s">
        <v>302</v>
      </c>
      <c r="Q62" s="20">
        <v>796</v>
      </c>
      <c r="R62" s="20" t="s">
        <v>54</v>
      </c>
      <c r="S62" s="93">
        <v>10</v>
      </c>
      <c r="T62" s="29">
        <v>1937.5</v>
      </c>
      <c r="U62" s="24">
        <v>0</v>
      </c>
      <c r="V62" s="24">
        <f t="shared" si="0"/>
        <v>0</v>
      </c>
      <c r="W62" s="25"/>
      <c r="X62" s="25">
        <v>2018</v>
      </c>
      <c r="Y62" s="62" t="s">
        <v>723</v>
      </c>
    </row>
    <row r="63" spans="2:25" ht="52.8">
      <c r="B63" s="20" t="s">
        <v>759</v>
      </c>
      <c r="C63" s="20" t="s">
        <v>36</v>
      </c>
      <c r="D63" s="20" t="s">
        <v>165</v>
      </c>
      <c r="E63" s="20" t="s">
        <v>166</v>
      </c>
      <c r="F63" s="20" t="s">
        <v>169</v>
      </c>
      <c r="G63" s="20"/>
      <c r="H63" s="20" t="s">
        <v>40</v>
      </c>
      <c r="I63" s="20">
        <v>0</v>
      </c>
      <c r="J63" s="22">
        <v>710000000</v>
      </c>
      <c r="K63" s="20" t="s">
        <v>41</v>
      </c>
      <c r="L63" s="20" t="s">
        <v>736</v>
      </c>
      <c r="M63" s="20" t="s">
        <v>42</v>
      </c>
      <c r="N63" s="20" t="s">
        <v>43</v>
      </c>
      <c r="O63" s="23" t="s">
        <v>301</v>
      </c>
      <c r="P63" s="20" t="s">
        <v>302</v>
      </c>
      <c r="Q63" s="20">
        <v>796</v>
      </c>
      <c r="R63" s="20" t="s">
        <v>54</v>
      </c>
      <c r="S63" s="93">
        <v>5</v>
      </c>
      <c r="T63" s="29">
        <v>1937.5</v>
      </c>
      <c r="U63" s="29">
        <f t="shared" ref="U63" si="16">S63*T63</f>
        <v>9687.5</v>
      </c>
      <c r="V63" s="24">
        <f t="shared" si="0"/>
        <v>10850</v>
      </c>
      <c r="W63" s="25"/>
      <c r="X63" s="25">
        <v>2018</v>
      </c>
      <c r="Y63" s="62"/>
    </row>
    <row r="64" spans="2:25" ht="52.8">
      <c r="B64" s="20" t="s">
        <v>172</v>
      </c>
      <c r="C64" s="20" t="s">
        <v>36</v>
      </c>
      <c r="D64" s="20" t="s">
        <v>165</v>
      </c>
      <c r="E64" s="20" t="s">
        <v>166</v>
      </c>
      <c r="F64" s="20" t="s">
        <v>171</v>
      </c>
      <c r="G64" s="20"/>
      <c r="H64" s="20" t="s">
        <v>40</v>
      </c>
      <c r="I64" s="20">
        <v>0</v>
      </c>
      <c r="J64" s="22">
        <v>710000000</v>
      </c>
      <c r="K64" s="20" t="s">
        <v>41</v>
      </c>
      <c r="L64" s="20" t="s">
        <v>736</v>
      </c>
      <c r="M64" s="20" t="s">
        <v>42</v>
      </c>
      <c r="N64" s="20" t="s">
        <v>43</v>
      </c>
      <c r="O64" s="23" t="s">
        <v>301</v>
      </c>
      <c r="P64" s="20" t="s">
        <v>302</v>
      </c>
      <c r="Q64" s="20">
        <v>796</v>
      </c>
      <c r="R64" s="20" t="s">
        <v>54</v>
      </c>
      <c r="S64" s="93">
        <v>2</v>
      </c>
      <c r="T64" s="24">
        <v>13392</v>
      </c>
      <c r="U64" s="24">
        <v>0</v>
      </c>
      <c r="V64" s="24">
        <f t="shared" si="0"/>
        <v>0</v>
      </c>
      <c r="W64" s="25"/>
      <c r="X64" s="25">
        <v>2018</v>
      </c>
      <c r="Y64" s="62" t="s">
        <v>724</v>
      </c>
    </row>
    <row r="65" spans="2:25" ht="52.8">
      <c r="B65" s="20" t="s">
        <v>176</v>
      </c>
      <c r="C65" s="20" t="s">
        <v>36</v>
      </c>
      <c r="D65" s="20" t="s">
        <v>173</v>
      </c>
      <c r="E65" s="20" t="s">
        <v>174</v>
      </c>
      <c r="F65" s="20" t="s">
        <v>175</v>
      </c>
      <c r="G65" s="20"/>
      <c r="H65" s="20" t="s">
        <v>40</v>
      </c>
      <c r="I65" s="20">
        <v>0</v>
      </c>
      <c r="J65" s="22">
        <v>710000000</v>
      </c>
      <c r="K65" s="20" t="s">
        <v>41</v>
      </c>
      <c r="L65" s="20" t="s">
        <v>736</v>
      </c>
      <c r="M65" s="20" t="s">
        <v>42</v>
      </c>
      <c r="N65" s="20" t="s">
        <v>43</v>
      </c>
      <c r="O65" s="23" t="s">
        <v>301</v>
      </c>
      <c r="P65" s="20" t="s">
        <v>302</v>
      </c>
      <c r="Q65" s="20">
        <v>778</v>
      </c>
      <c r="R65" s="20" t="s">
        <v>77</v>
      </c>
      <c r="S65" s="93">
        <v>40</v>
      </c>
      <c r="T65" s="29">
        <v>107.14285714285714</v>
      </c>
      <c r="U65" s="29">
        <f t="shared" ref="U65:U67" si="17">S65*T65</f>
        <v>4285.7142857142853</v>
      </c>
      <c r="V65" s="24">
        <f t="shared" si="0"/>
        <v>4800</v>
      </c>
      <c r="W65" s="25"/>
      <c r="X65" s="25">
        <v>2018</v>
      </c>
      <c r="Y65" s="62"/>
    </row>
    <row r="66" spans="2:25" ht="52.8">
      <c r="B66" s="20" t="s">
        <v>178</v>
      </c>
      <c r="C66" s="20" t="s">
        <v>36</v>
      </c>
      <c r="D66" s="20" t="s">
        <v>173</v>
      </c>
      <c r="E66" s="20" t="s">
        <v>174</v>
      </c>
      <c r="F66" s="20" t="s">
        <v>177</v>
      </c>
      <c r="G66" s="20"/>
      <c r="H66" s="20" t="s">
        <v>40</v>
      </c>
      <c r="I66" s="20">
        <v>0</v>
      </c>
      <c r="J66" s="22">
        <v>710000000</v>
      </c>
      <c r="K66" s="20" t="s">
        <v>41</v>
      </c>
      <c r="L66" s="20" t="s">
        <v>736</v>
      </c>
      <c r="M66" s="20" t="s">
        <v>42</v>
      </c>
      <c r="N66" s="20" t="s">
        <v>43</v>
      </c>
      <c r="O66" s="23" t="s">
        <v>301</v>
      </c>
      <c r="P66" s="20" t="s">
        <v>302</v>
      </c>
      <c r="Q66" s="20">
        <v>778</v>
      </c>
      <c r="R66" s="20" t="s">
        <v>77</v>
      </c>
      <c r="S66" s="93">
        <v>40</v>
      </c>
      <c r="T66" s="29">
        <v>133.92857142857142</v>
      </c>
      <c r="U66" s="29">
        <f t="shared" si="17"/>
        <v>5357.1428571428569</v>
      </c>
      <c r="V66" s="24">
        <f t="shared" si="0"/>
        <v>6000</v>
      </c>
      <c r="W66" s="25"/>
      <c r="X66" s="26">
        <v>2018</v>
      </c>
      <c r="Y66" s="62"/>
    </row>
    <row r="67" spans="2:25" ht="52.8">
      <c r="B67" s="20" t="s">
        <v>180</v>
      </c>
      <c r="C67" s="20" t="s">
        <v>36</v>
      </c>
      <c r="D67" s="20" t="s">
        <v>173</v>
      </c>
      <c r="E67" s="20" t="s">
        <v>174</v>
      </c>
      <c r="F67" s="20" t="s">
        <v>179</v>
      </c>
      <c r="G67" s="20"/>
      <c r="H67" s="20" t="s">
        <v>40</v>
      </c>
      <c r="I67" s="20">
        <v>0</v>
      </c>
      <c r="J67" s="22">
        <v>710000000</v>
      </c>
      <c r="K67" s="20" t="s">
        <v>41</v>
      </c>
      <c r="L67" s="20" t="s">
        <v>736</v>
      </c>
      <c r="M67" s="20" t="s">
        <v>42</v>
      </c>
      <c r="N67" s="20" t="s">
        <v>43</v>
      </c>
      <c r="O67" s="23" t="s">
        <v>301</v>
      </c>
      <c r="P67" s="20" t="s">
        <v>302</v>
      </c>
      <c r="Q67" s="20">
        <v>778</v>
      </c>
      <c r="R67" s="20" t="s">
        <v>77</v>
      </c>
      <c r="S67" s="93">
        <v>20</v>
      </c>
      <c r="T67" s="29">
        <v>982.14285714285711</v>
      </c>
      <c r="U67" s="29">
        <f t="shared" si="17"/>
        <v>19642.857142857141</v>
      </c>
      <c r="V67" s="24">
        <f t="shared" si="0"/>
        <v>22000</v>
      </c>
      <c r="W67" s="25"/>
      <c r="X67" s="25">
        <v>2018</v>
      </c>
      <c r="Y67" s="62"/>
    </row>
    <row r="68" spans="2:25" ht="52.8">
      <c r="B68" s="20" t="s">
        <v>184</v>
      </c>
      <c r="C68" s="20" t="s">
        <v>36</v>
      </c>
      <c r="D68" s="20" t="s">
        <v>181</v>
      </c>
      <c r="E68" s="20" t="s">
        <v>182</v>
      </c>
      <c r="F68" s="20" t="s">
        <v>183</v>
      </c>
      <c r="G68" s="20"/>
      <c r="H68" s="20" t="s">
        <v>40</v>
      </c>
      <c r="I68" s="20">
        <v>0</v>
      </c>
      <c r="J68" s="22">
        <v>710000000</v>
      </c>
      <c r="K68" s="20" t="s">
        <v>41</v>
      </c>
      <c r="L68" s="20" t="s">
        <v>736</v>
      </c>
      <c r="M68" s="20" t="s">
        <v>42</v>
      </c>
      <c r="N68" s="20" t="s">
        <v>43</v>
      </c>
      <c r="O68" s="23" t="s">
        <v>301</v>
      </c>
      <c r="P68" s="20" t="s">
        <v>302</v>
      </c>
      <c r="Q68" s="20">
        <v>796</v>
      </c>
      <c r="R68" s="20" t="s">
        <v>54</v>
      </c>
      <c r="S68" s="93">
        <v>10</v>
      </c>
      <c r="T68" s="29">
        <v>2946.4285714285716</v>
      </c>
      <c r="U68" s="24">
        <v>0</v>
      </c>
      <c r="V68" s="24">
        <f t="shared" si="0"/>
        <v>0</v>
      </c>
      <c r="W68" s="25"/>
      <c r="X68" s="25">
        <v>2018</v>
      </c>
      <c r="Y68" s="62" t="s">
        <v>723</v>
      </c>
    </row>
    <row r="69" spans="2:25" ht="52.8">
      <c r="B69" s="20" t="s">
        <v>731</v>
      </c>
      <c r="C69" s="20" t="s">
        <v>36</v>
      </c>
      <c r="D69" s="20" t="s">
        <v>181</v>
      </c>
      <c r="E69" s="20" t="s">
        <v>182</v>
      </c>
      <c r="F69" s="20" t="s">
        <v>183</v>
      </c>
      <c r="G69" s="20"/>
      <c r="H69" s="20" t="s">
        <v>40</v>
      </c>
      <c r="I69" s="20">
        <v>0</v>
      </c>
      <c r="J69" s="22">
        <v>710000000</v>
      </c>
      <c r="K69" s="20" t="s">
        <v>41</v>
      </c>
      <c r="L69" s="20" t="s">
        <v>736</v>
      </c>
      <c r="M69" s="20" t="s">
        <v>42</v>
      </c>
      <c r="N69" s="20" t="s">
        <v>43</v>
      </c>
      <c r="O69" s="23" t="s">
        <v>301</v>
      </c>
      <c r="P69" s="20" t="s">
        <v>302</v>
      </c>
      <c r="Q69" s="20">
        <v>796</v>
      </c>
      <c r="R69" s="20" t="s">
        <v>54</v>
      </c>
      <c r="S69" s="93">
        <v>5</v>
      </c>
      <c r="T69" s="29">
        <v>2946.4285714285716</v>
      </c>
      <c r="U69" s="29">
        <f t="shared" ref="U69" si="18">S69*T69</f>
        <v>14732.142857142859</v>
      </c>
      <c r="V69" s="24">
        <f t="shared" si="0"/>
        <v>16500</v>
      </c>
      <c r="W69" s="25"/>
      <c r="X69" s="25">
        <v>2018</v>
      </c>
      <c r="Y69" s="62"/>
    </row>
    <row r="70" spans="2:25" ht="52.8">
      <c r="B70" s="20" t="s">
        <v>188</v>
      </c>
      <c r="C70" s="20" t="s">
        <v>36</v>
      </c>
      <c r="D70" s="20" t="s">
        <v>185</v>
      </c>
      <c r="E70" s="20" t="s">
        <v>186</v>
      </c>
      <c r="F70" s="20" t="s">
        <v>187</v>
      </c>
      <c r="G70" s="20"/>
      <c r="H70" s="20" t="s">
        <v>40</v>
      </c>
      <c r="I70" s="20">
        <v>0</v>
      </c>
      <c r="J70" s="22">
        <v>710000000</v>
      </c>
      <c r="K70" s="20" t="s">
        <v>41</v>
      </c>
      <c r="L70" s="20" t="s">
        <v>736</v>
      </c>
      <c r="M70" s="20" t="s">
        <v>42</v>
      </c>
      <c r="N70" s="20" t="s">
        <v>43</v>
      </c>
      <c r="O70" s="23" t="s">
        <v>301</v>
      </c>
      <c r="P70" s="20" t="s">
        <v>302</v>
      </c>
      <c r="Q70" s="20">
        <v>796</v>
      </c>
      <c r="R70" s="20" t="s">
        <v>54</v>
      </c>
      <c r="S70" s="93">
        <v>10</v>
      </c>
      <c r="T70" s="24">
        <v>1339</v>
      </c>
      <c r="U70" s="24">
        <v>0</v>
      </c>
      <c r="V70" s="24">
        <f t="shared" si="0"/>
        <v>0</v>
      </c>
      <c r="W70" s="25"/>
      <c r="X70" s="25">
        <v>2018</v>
      </c>
      <c r="Y70" s="62" t="s">
        <v>723</v>
      </c>
    </row>
    <row r="71" spans="2:25" ht="52.8">
      <c r="B71" s="20" t="s">
        <v>760</v>
      </c>
      <c r="C71" s="20" t="s">
        <v>36</v>
      </c>
      <c r="D71" s="20" t="s">
        <v>185</v>
      </c>
      <c r="E71" s="20" t="s">
        <v>186</v>
      </c>
      <c r="F71" s="20" t="s">
        <v>187</v>
      </c>
      <c r="G71" s="20"/>
      <c r="H71" s="20" t="s">
        <v>40</v>
      </c>
      <c r="I71" s="20">
        <v>0</v>
      </c>
      <c r="J71" s="22">
        <v>710000000</v>
      </c>
      <c r="K71" s="20" t="s">
        <v>41</v>
      </c>
      <c r="L71" s="20" t="s">
        <v>736</v>
      </c>
      <c r="M71" s="20" t="s">
        <v>42</v>
      </c>
      <c r="N71" s="20" t="s">
        <v>43</v>
      </c>
      <c r="O71" s="23" t="s">
        <v>301</v>
      </c>
      <c r="P71" s="20" t="s">
        <v>302</v>
      </c>
      <c r="Q71" s="20">
        <v>796</v>
      </c>
      <c r="R71" s="20" t="s">
        <v>54</v>
      </c>
      <c r="S71" s="93">
        <v>5</v>
      </c>
      <c r="T71" s="29">
        <v>1339.2857142857142</v>
      </c>
      <c r="U71" s="29">
        <f t="shared" ref="U71" si="19">S71*T71</f>
        <v>6696.4285714285706</v>
      </c>
      <c r="V71" s="24">
        <f t="shared" si="0"/>
        <v>7499.9999999999991</v>
      </c>
      <c r="W71" s="25"/>
      <c r="X71" s="25">
        <v>2018</v>
      </c>
      <c r="Y71" s="62"/>
    </row>
    <row r="72" spans="2:25" ht="52.8">
      <c r="B72" s="20" t="s">
        <v>192</v>
      </c>
      <c r="C72" s="20" t="s">
        <v>36</v>
      </c>
      <c r="D72" s="20" t="s">
        <v>189</v>
      </c>
      <c r="E72" s="20" t="s">
        <v>190</v>
      </c>
      <c r="F72" s="20" t="s">
        <v>191</v>
      </c>
      <c r="G72" s="20"/>
      <c r="H72" s="20" t="s">
        <v>40</v>
      </c>
      <c r="I72" s="20">
        <v>0</v>
      </c>
      <c r="J72" s="22">
        <v>710000000</v>
      </c>
      <c r="K72" s="20" t="s">
        <v>41</v>
      </c>
      <c r="L72" s="20" t="s">
        <v>736</v>
      </c>
      <c r="M72" s="20" t="s">
        <v>42</v>
      </c>
      <c r="N72" s="20" t="s">
        <v>43</v>
      </c>
      <c r="O72" s="23" t="s">
        <v>301</v>
      </c>
      <c r="P72" s="20" t="s">
        <v>302</v>
      </c>
      <c r="Q72" s="20">
        <v>796</v>
      </c>
      <c r="R72" s="20" t="s">
        <v>54</v>
      </c>
      <c r="S72" s="93">
        <v>20</v>
      </c>
      <c r="T72" s="24">
        <v>357</v>
      </c>
      <c r="U72" s="24">
        <v>0</v>
      </c>
      <c r="V72" s="24">
        <f t="shared" si="0"/>
        <v>0</v>
      </c>
      <c r="W72" s="25"/>
      <c r="X72" s="25">
        <v>2018</v>
      </c>
      <c r="Y72" s="62" t="s">
        <v>724</v>
      </c>
    </row>
    <row r="73" spans="2:25" ht="52.8">
      <c r="B73" s="20" t="s">
        <v>196</v>
      </c>
      <c r="C73" s="20" t="s">
        <v>36</v>
      </c>
      <c r="D73" s="20" t="s">
        <v>193</v>
      </c>
      <c r="E73" s="20" t="s">
        <v>194</v>
      </c>
      <c r="F73" s="20" t="s">
        <v>195</v>
      </c>
      <c r="G73" s="20"/>
      <c r="H73" s="20" t="s">
        <v>40</v>
      </c>
      <c r="I73" s="20">
        <v>0</v>
      </c>
      <c r="J73" s="22">
        <v>710000000</v>
      </c>
      <c r="K73" s="20" t="s">
        <v>41</v>
      </c>
      <c r="L73" s="20" t="s">
        <v>736</v>
      </c>
      <c r="M73" s="20" t="s">
        <v>42</v>
      </c>
      <c r="N73" s="20" t="s">
        <v>43</v>
      </c>
      <c r="O73" s="23" t="s">
        <v>301</v>
      </c>
      <c r="P73" s="20" t="s">
        <v>302</v>
      </c>
      <c r="Q73" s="20">
        <v>796</v>
      </c>
      <c r="R73" s="20" t="s">
        <v>54</v>
      </c>
      <c r="S73" s="93">
        <v>10</v>
      </c>
      <c r="T73" s="29">
        <v>3660.7142857142858</v>
      </c>
      <c r="U73" s="24">
        <v>0</v>
      </c>
      <c r="V73" s="24">
        <f t="shared" si="0"/>
        <v>0</v>
      </c>
      <c r="W73" s="25"/>
      <c r="X73" s="25">
        <v>2018</v>
      </c>
      <c r="Y73" s="62" t="s">
        <v>723</v>
      </c>
    </row>
    <row r="74" spans="2:25" ht="52.8">
      <c r="B74" s="20" t="s">
        <v>732</v>
      </c>
      <c r="C74" s="20" t="s">
        <v>36</v>
      </c>
      <c r="D74" s="20" t="s">
        <v>193</v>
      </c>
      <c r="E74" s="20" t="s">
        <v>194</v>
      </c>
      <c r="F74" s="20" t="s">
        <v>195</v>
      </c>
      <c r="G74" s="20"/>
      <c r="H74" s="20" t="s">
        <v>40</v>
      </c>
      <c r="I74" s="20">
        <v>0</v>
      </c>
      <c r="J74" s="22">
        <v>710000000</v>
      </c>
      <c r="K74" s="20" t="s">
        <v>41</v>
      </c>
      <c r="L74" s="20" t="s">
        <v>736</v>
      </c>
      <c r="M74" s="20" t="s">
        <v>42</v>
      </c>
      <c r="N74" s="20" t="s">
        <v>43</v>
      </c>
      <c r="O74" s="23" t="s">
        <v>301</v>
      </c>
      <c r="P74" s="20" t="s">
        <v>302</v>
      </c>
      <c r="Q74" s="20">
        <v>796</v>
      </c>
      <c r="R74" s="20" t="s">
        <v>54</v>
      </c>
      <c r="S74" s="93">
        <v>5</v>
      </c>
      <c r="T74" s="29">
        <v>3660.7142857142858</v>
      </c>
      <c r="U74" s="29">
        <f t="shared" ref="U74" si="20">S74*T74</f>
        <v>18303.571428571428</v>
      </c>
      <c r="V74" s="24">
        <f t="shared" si="0"/>
        <v>20500</v>
      </c>
      <c r="W74" s="25"/>
      <c r="X74" s="25">
        <v>2018</v>
      </c>
      <c r="Y74" s="62"/>
    </row>
    <row r="75" spans="2:25" ht="52.8">
      <c r="B75" s="20" t="s">
        <v>200</v>
      </c>
      <c r="C75" s="20" t="s">
        <v>36</v>
      </c>
      <c r="D75" s="20" t="s">
        <v>197</v>
      </c>
      <c r="E75" s="20" t="s">
        <v>198</v>
      </c>
      <c r="F75" s="20" t="s">
        <v>199</v>
      </c>
      <c r="G75" s="20"/>
      <c r="H75" s="20" t="s">
        <v>40</v>
      </c>
      <c r="I75" s="20">
        <v>0</v>
      </c>
      <c r="J75" s="22">
        <v>710000000</v>
      </c>
      <c r="K75" s="20" t="s">
        <v>41</v>
      </c>
      <c r="L75" s="20" t="s">
        <v>736</v>
      </c>
      <c r="M75" s="20" t="s">
        <v>42</v>
      </c>
      <c r="N75" s="20" t="s">
        <v>43</v>
      </c>
      <c r="O75" s="23" t="s">
        <v>301</v>
      </c>
      <c r="P75" s="20" t="s">
        <v>302</v>
      </c>
      <c r="Q75" s="20">
        <v>796</v>
      </c>
      <c r="R75" s="20" t="s">
        <v>54</v>
      </c>
      <c r="S75" s="93">
        <v>10</v>
      </c>
      <c r="T75" s="29">
        <v>3303.5714285714284</v>
      </c>
      <c r="U75" s="24">
        <v>0</v>
      </c>
      <c r="V75" s="24">
        <f t="shared" si="0"/>
        <v>0</v>
      </c>
      <c r="W75" s="25"/>
      <c r="X75" s="25">
        <v>2018</v>
      </c>
      <c r="Y75" s="62" t="s">
        <v>723</v>
      </c>
    </row>
    <row r="76" spans="2:25" ht="52.8">
      <c r="B76" s="20" t="s">
        <v>761</v>
      </c>
      <c r="C76" s="20" t="s">
        <v>36</v>
      </c>
      <c r="D76" s="20" t="s">
        <v>197</v>
      </c>
      <c r="E76" s="20" t="s">
        <v>198</v>
      </c>
      <c r="F76" s="20" t="s">
        <v>199</v>
      </c>
      <c r="G76" s="20"/>
      <c r="H76" s="20" t="s">
        <v>40</v>
      </c>
      <c r="I76" s="20">
        <v>0</v>
      </c>
      <c r="J76" s="22">
        <v>710000000</v>
      </c>
      <c r="K76" s="20" t="s">
        <v>41</v>
      </c>
      <c r="L76" s="20" t="s">
        <v>736</v>
      </c>
      <c r="M76" s="20" t="s">
        <v>42</v>
      </c>
      <c r="N76" s="20" t="s">
        <v>43</v>
      </c>
      <c r="O76" s="23" t="s">
        <v>301</v>
      </c>
      <c r="P76" s="20" t="s">
        <v>302</v>
      </c>
      <c r="Q76" s="20">
        <v>796</v>
      </c>
      <c r="R76" s="20" t="s">
        <v>54</v>
      </c>
      <c r="S76" s="93">
        <v>5</v>
      </c>
      <c r="T76" s="29">
        <v>3303.5714285714284</v>
      </c>
      <c r="U76" s="29">
        <f t="shared" ref="U76" si="21">S76*T76</f>
        <v>16517.857142857141</v>
      </c>
      <c r="V76" s="24">
        <f t="shared" si="0"/>
        <v>18500</v>
      </c>
      <c r="W76" s="25"/>
      <c r="X76" s="25">
        <v>2018</v>
      </c>
      <c r="Y76" s="62"/>
    </row>
    <row r="77" spans="2:25" ht="52.8">
      <c r="B77" s="20" t="s">
        <v>204</v>
      </c>
      <c r="C77" s="20" t="s">
        <v>36</v>
      </c>
      <c r="D77" s="20" t="s">
        <v>201</v>
      </c>
      <c r="E77" s="20" t="s">
        <v>202</v>
      </c>
      <c r="F77" s="20" t="s">
        <v>203</v>
      </c>
      <c r="G77" s="20"/>
      <c r="H77" s="20" t="s">
        <v>40</v>
      </c>
      <c r="I77" s="20">
        <v>0</v>
      </c>
      <c r="J77" s="22">
        <v>710000000</v>
      </c>
      <c r="K77" s="20" t="s">
        <v>41</v>
      </c>
      <c r="L77" s="20" t="s">
        <v>736</v>
      </c>
      <c r="M77" s="20" t="s">
        <v>42</v>
      </c>
      <c r="N77" s="20" t="s">
        <v>43</v>
      </c>
      <c r="O77" s="23" t="s">
        <v>301</v>
      </c>
      <c r="P77" s="20" t="s">
        <v>302</v>
      </c>
      <c r="Q77" s="20">
        <v>796</v>
      </c>
      <c r="R77" s="20" t="s">
        <v>54</v>
      </c>
      <c r="S77" s="93">
        <v>10</v>
      </c>
      <c r="T77" s="24">
        <v>3125</v>
      </c>
      <c r="U77" s="24">
        <v>0</v>
      </c>
      <c r="V77" s="24">
        <f t="shared" si="0"/>
        <v>0</v>
      </c>
      <c r="W77" s="25"/>
      <c r="X77" s="25">
        <v>2018</v>
      </c>
      <c r="Y77" s="62" t="s">
        <v>724</v>
      </c>
    </row>
    <row r="78" spans="2:25" ht="92.4">
      <c r="B78" s="20" t="s">
        <v>209</v>
      </c>
      <c r="C78" s="20" t="s">
        <v>36</v>
      </c>
      <c r="D78" s="20" t="s">
        <v>205</v>
      </c>
      <c r="E78" s="20" t="s">
        <v>206</v>
      </c>
      <c r="F78" s="20" t="s">
        <v>207</v>
      </c>
      <c r="G78" s="20" t="s">
        <v>208</v>
      </c>
      <c r="H78" s="20" t="s">
        <v>40</v>
      </c>
      <c r="I78" s="20">
        <v>0</v>
      </c>
      <c r="J78" s="22">
        <v>710000000</v>
      </c>
      <c r="K78" s="20" t="s">
        <v>41</v>
      </c>
      <c r="L78" s="20" t="s">
        <v>736</v>
      </c>
      <c r="M78" s="20" t="s">
        <v>42</v>
      </c>
      <c r="N78" s="20" t="s">
        <v>43</v>
      </c>
      <c r="O78" s="23" t="s">
        <v>301</v>
      </c>
      <c r="P78" s="20" t="s">
        <v>302</v>
      </c>
      <c r="Q78" s="20">
        <v>796</v>
      </c>
      <c r="R78" s="20" t="s">
        <v>54</v>
      </c>
      <c r="S78" s="93">
        <v>5</v>
      </c>
      <c r="T78" s="24">
        <v>5000</v>
      </c>
      <c r="U78" s="24">
        <v>0</v>
      </c>
      <c r="V78" s="24">
        <f t="shared" ref="V78:V159" si="22">U78+(U78*12%)</f>
        <v>0</v>
      </c>
      <c r="W78" s="25"/>
      <c r="X78" s="25">
        <v>2018</v>
      </c>
      <c r="Y78" s="62" t="s">
        <v>724</v>
      </c>
    </row>
    <row r="79" spans="2:25" ht="118.8">
      <c r="B79" s="20" t="s">
        <v>213</v>
      </c>
      <c r="C79" s="20" t="s">
        <v>36</v>
      </c>
      <c r="D79" s="20" t="s">
        <v>210</v>
      </c>
      <c r="E79" s="20" t="s">
        <v>206</v>
      </c>
      <c r="F79" s="20" t="s">
        <v>211</v>
      </c>
      <c r="G79" s="27" t="s">
        <v>212</v>
      </c>
      <c r="H79" s="20" t="s">
        <v>40</v>
      </c>
      <c r="I79" s="20">
        <v>0</v>
      </c>
      <c r="J79" s="22">
        <v>710000000</v>
      </c>
      <c r="K79" s="20" t="s">
        <v>41</v>
      </c>
      <c r="L79" s="20" t="s">
        <v>736</v>
      </c>
      <c r="M79" s="20" t="s">
        <v>42</v>
      </c>
      <c r="N79" s="20" t="s">
        <v>43</v>
      </c>
      <c r="O79" s="23" t="s">
        <v>301</v>
      </c>
      <c r="P79" s="20" t="s">
        <v>302</v>
      </c>
      <c r="Q79" s="20">
        <v>796</v>
      </c>
      <c r="R79" s="20" t="s">
        <v>54</v>
      </c>
      <c r="S79" s="93">
        <v>5</v>
      </c>
      <c r="T79" s="29">
        <v>8660.7142857142862</v>
      </c>
      <c r="U79" s="29">
        <f t="shared" ref="U79:U80" si="23">S79*T79</f>
        <v>43303.571428571435</v>
      </c>
      <c r="V79" s="24">
        <f t="shared" si="22"/>
        <v>48500.000000000007</v>
      </c>
      <c r="W79" s="25"/>
      <c r="X79" s="25">
        <v>2018</v>
      </c>
      <c r="Y79" s="62"/>
    </row>
    <row r="80" spans="2:25" ht="52.8">
      <c r="B80" s="20" t="s">
        <v>217</v>
      </c>
      <c r="C80" s="20" t="s">
        <v>36</v>
      </c>
      <c r="D80" s="20" t="s">
        <v>214</v>
      </c>
      <c r="E80" s="20" t="s">
        <v>215</v>
      </c>
      <c r="F80" s="20" t="s">
        <v>216</v>
      </c>
      <c r="G80" s="20"/>
      <c r="H80" s="20" t="s">
        <v>40</v>
      </c>
      <c r="I80" s="20">
        <v>0</v>
      </c>
      <c r="J80" s="22">
        <v>710000000</v>
      </c>
      <c r="K80" s="20" t="s">
        <v>41</v>
      </c>
      <c r="L80" s="20" t="s">
        <v>736</v>
      </c>
      <c r="M80" s="20" t="s">
        <v>42</v>
      </c>
      <c r="N80" s="20" t="s">
        <v>43</v>
      </c>
      <c r="O80" s="23" t="s">
        <v>301</v>
      </c>
      <c r="P80" s="20" t="s">
        <v>302</v>
      </c>
      <c r="Q80" s="20">
        <v>778</v>
      </c>
      <c r="R80" s="20" t="s">
        <v>77</v>
      </c>
      <c r="S80" s="93">
        <v>10</v>
      </c>
      <c r="T80" s="29">
        <v>4910.7142857142853</v>
      </c>
      <c r="U80" s="29">
        <f t="shared" si="23"/>
        <v>49107.142857142855</v>
      </c>
      <c r="V80" s="24">
        <f t="shared" si="22"/>
        <v>55000</v>
      </c>
      <c r="W80" s="25"/>
      <c r="X80" s="25">
        <v>2018</v>
      </c>
      <c r="Y80" s="62"/>
    </row>
    <row r="81" spans="2:25" ht="52.8">
      <c r="B81" s="20" t="s">
        <v>221</v>
      </c>
      <c r="C81" s="20" t="s">
        <v>36</v>
      </c>
      <c r="D81" s="20" t="s">
        <v>218</v>
      </c>
      <c r="E81" s="20" t="s">
        <v>219</v>
      </c>
      <c r="F81" s="20" t="s">
        <v>220</v>
      </c>
      <c r="G81" s="20"/>
      <c r="H81" s="20" t="s">
        <v>40</v>
      </c>
      <c r="I81" s="20">
        <v>0</v>
      </c>
      <c r="J81" s="22">
        <v>710000000</v>
      </c>
      <c r="K81" s="20" t="s">
        <v>41</v>
      </c>
      <c r="L81" s="20" t="s">
        <v>736</v>
      </c>
      <c r="M81" s="20" t="s">
        <v>42</v>
      </c>
      <c r="N81" s="20" t="s">
        <v>43</v>
      </c>
      <c r="O81" s="23" t="s">
        <v>301</v>
      </c>
      <c r="P81" s="20" t="s">
        <v>302</v>
      </c>
      <c r="Q81" s="20">
        <v>778</v>
      </c>
      <c r="R81" s="20" t="s">
        <v>77</v>
      </c>
      <c r="S81" s="93">
        <v>14</v>
      </c>
      <c r="T81" s="24">
        <v>695</v>
      </c>
      <c r="U81" s="24">
        <v>0</v>
      </c>
      <c r="V81" s="24">
        <f t="shared" si="22"/>
        <v>0</v>
      </c>
      <c r="W81" s="25"/>
      <c r="X81" s="25">
        <v>2018</v>
      </c>
      <c r="Y81" s="62" t="s">
        <v>724</v>
      </c>
    </row>
    <row r="82" spans="2:25" ht="52.8">
      <c r="B82" s="20" t="s">
        <v>224</v>
      </c>
      <c r="C82" s="20" t="s">
        <v>36</v>
      </c>
      <c r="D82" s="20" t="s">
        <v>110</v>
      </c>
      <c r="E82" s="20" t="s">
        <v>111</v>
      </c>
      <c r="F82" s="20" t="s">
        <v>222</v>
      </c>
      <c r="G82" s="20" t="s">
        <v>223</v>
      </c>
      <c r="H82" s="20" t="s">
        <v>40</v>
      </c>
      <c r="I82" s="20">
        <v>0</v>
      </c>
      <c r="J82" s="22">
        <v>710000000</v>
      </c>
      <c r="K82" s="20" t="s">
        <v>41</v>
      </c>
      <c r="L82" s="20" t="s">
        <v>736</v>
      </c>
      <c r="M82" s="20" t="s">
        <v>42</v>
      </c>
      <c r="N82" s="20" t="s">
        <v>43</v>
      </c>
      <c r="O82" s="23" t="s">
        <v>301</v>
      </c>
      <c r="P82" s="20" t="s">
        <v>302</v>
      </c>
      <c r="Q82" s="20">
        <v>796</v>
      </c>
      <c r="R82" s="20" t="s">
        <v>54</v>
      </c>
      <c r="S82" s="93">
        <v>70</v>
      </c>
      <c r="T82" s="24">
        <v>625</v>
      </c>
      <c r="U82" s="24">
        <v>0</v>
      </c>
      <c r="V82" s="24">
        <f t="shared" si="22"/>
        <v>0</v>
      </c>
      <c r="W82" s="25"/>
      <c r="X82" s="25">
        <v>2018</v>
      </c>
      <c r="Y82" s="62" t="s">
        <v>723</v>
      </c>
    </row>
    <row r="83" spans="2:25" ht="52.8">
      <c r="B83" s="20" t="s">
        <v>733</v>
      </c>
      <c r="C83" s="20" t="s">
        <v>36</v>
      </c>
      <c r="D83" s="20" t="s">
        <v>110</v>
      </c>
      <c r="E83" s="20" t="s">
        <v>111</v>
      </c>
      <c r="F83" s="20" t="s">
        <v>222</v>
      </c>
      <c r="G83" s="20" t="s">
        <v>223</v>
      </c>
      <c r="H83" s="20" t="s">
        <v>40</v>
      </c>
      <c r="I83" s="20">
        <v>0</v>
      </c>
      <c r="J83" s="22">
        <v>710000000</v>
      </c>
      <c r="K83" s="20" t="s">
        <v>41</v>
      </c>
      <c r="L83" s="20" t="s">
        <v>736</v>
      </c>
      <c r="M83" s="20" t="s">
        <v>42</v>
      </c>
      <c r="N83" s="20" t="s">
        <v>43</v>
      </c>
      <c r="O83" s="23" t="s">
        <v>301</v>
      </c>
      <c r="P83" s="20" t="s">
        <v>302</v>
      </c>
      <c r="Q83" s="20">
        <v>796</v>
      </c>
      <c r="R83" s="20" t="s">
        <v>54</v>
      </c>
      <c r="S83" s="93">
        <v>50</v>
      </c>
      <c r="T83" s="29">
        <v>625</v>
      </c>
      <c r="U83" s="29">
        <f t="shared" ref="U83" si="24">S83*T83</f>
        <v>31250</v>
      </c>
      <c r="V83" s="24">
        <f t="shared" si="22"/>
        <v>35000</v>
      </c>
      <c r="W83" s="25"/>
      <c r="X83" s="25">
        <v>2018</v>
      </c>
      <c r="Y83" s="62"/>
    </row>
    <row r="84" spans="2:25" ht="52.8">
      <c r="B84" s="20" t="s">
        <v>228</v>
      </c>
      <c r="C84" s="20" t="s">
        <v>36</v>
      </c>
      <c r="D84" s="20" t="s">
        <v>225</v>
      </c>
      <c r="E84" s="20" t="s">
        <v>226</v>
      </c>
      <c r="F84" s="20" t="s">
        <v>227</v>
      </c>
      <c r="G84" s="20"/>
      <c r="H84" s="20" t="s">
        <v>40</v>
      </c>
      <c r="I84" s="20">
        <v>0</v>
      </c>
      <c r="J84" s="22">
        <v>710000000</v>
      </c>
      <c r="K84" s="20" t="s">
        <v>41</v>
      </c>
      <c r="L84" s="20" t="s">
        <v>736</v>
      </c>
      <c r="M84" s="20" t="s">
        <v>42</v>
      </c>
      <c r="N84" s="20" t="s">
        <v>43</v>
      </c>
      <c r="O84" s="23" t="s">
        <v>301</v>
      </c>
      <c r="P84" s="20" t="s">
        <v>302</v>
      </c>
      <c r="Q84" s="20">
        <v>796</v>
      </c>
      <c r="R84" s="20" t="s">
        <v>54</v>
      </c>
      <c r="S84" s="93">
        <v>14</v>
      </c>
      <c r="T84" s="29">
        <v>84.821428571428569</v>
      </c>
      <c r="U84" s="24">
        <v>0</v>
      </c>
      <c r="V84" s="24">
        <f t="shared" si="22"/>
        <v>0</v>
      </c>
      <c r="W84" s="25"/>
      <c r="X84" s="25">
        <v>2018</v>
      </c>
      <c r="Y84" s="62" t="s">
        <v>723</v>
      </c>
    </row>
    <row r="85" spans="2:25" ht="52.8">
      <c r="B85" s="20" t="s">
        <v>762</v>
      </c>
      <c r="C85" s="20" t="s">
        <v>36</v>
      </c>
      <c r="D85" s="20" t="s">
        <v>225</v>
      </c>
      <c r="E85" s="20" t="s">
        <v>226</v>
      </c>
      <c r="F85" s="20" t="s">
        <v>227</v>
      </c>
      <c r="G85" s="20"/>
      <c r="H85" s="20" t="s">
        <v>40</v>
      </c>
      <c r="I85" s="20">
        <v>0</v>
      </c>
      <c r="J85" s="22">
        <v>710000000</v>
      </c>
      <c r="K85" s="20" t="s">
        <v>41</v>
      </c>
      <c r="L85" s="20" t="s">
        <v>736</v>
      </c>
      <c r="M85" s="20" t="s">
        <v>42</v>
      </c>
      <c r="N85" s="20" t="s">
        <v>43</v>
      </c>
      <c r="O85" s="23" t="s">
        <v>301</v>
      </c>
      <c r="P85" s="20" t="s">
        <v>302</v>
      </c>
      <c r="Q85" s="20">
        <v>796</v>
      </c>
      <c r="R85" s="20" t="s">
        <v>54</v>
      </c>
      <c r="S85" s="93">
        <v>10</v>
      </c>
      <c r="T85" s="29">
        <v>84.821428571428569</v>
      </c>
      <c r="U85" s="29">
        <f t="shared" ref="U85:U86" si="25">S85*T85</f>
        <v>848.21428571428567</v>
      </c>
      <c r="V85" s="24">
        <f t="shared" si="22"/>
        <v>950</v>
      </c>
      <c r="W85" s="25"/>
      <c r="X85" s="25">
        <v>2018</v>
      </c>
      <c r="Y85" s="62"/>
    </row>
    <row r="86" spans="2:25" ht="52.8">
      <c r="B86" s="20" t="s">
        <v>232</v>
      </c>
      <c r="C86" s="20" t="s">
        <v>36</v>
      </c>
      <c r="D86" s="20" t="s">
        <v>229</v>
      </c>
      <c r="E86" s="20" t="s">
        <v>226</v>
      </c>
      <c r="F86" s="20" t="s">
        <v>230</v>
      </c>
      <c r="G86" s="20" t="s">
        <v>231</v>
      </c>
      <c r="H86" s="20" t="s">
        <v>40</v>
      </c>
      <c r="I86" s="20">
        <v>0</v>
      </c>
      <c r="J86" s="22">
        <v>710000000</v>
      </c>
      <c r="K86" s="20" t="s">
        <v>41</v>
      </c>
      <c r="L86" s="20" t="s">
        <v>736</v>
      </c>
      <c r="M86" s="20" t="s">
        <v>42</v>
      </c>
      <c r="N86" s="20" t="s">
        <v>43</v>
      </c>
      <c r="O86" s="23" t="s">
        <v>301</v>
      </c>
      <c r="P86" s="20" t="s">
        <v>302</v>
      </c>
      <c r="Q86" s="20">
        <v>796</v>
      </c>
      <c r="R86" s="20" t="s">
        <v>54</v>
      </c>
      <c r="S86" s="93">
        <v>1</v>
      </c>
      <c r="T86" s="29">
        <v>3482.1428571428573</v>
      </c>
      <c r="U86" s="29">
        <f t="shared" si="25"/>
        <v>3482.1428571428573</v>
      </c>
      <c r="V86" s="24">
        <f t="shared" si="22"/>
        <v>3900</v>
      </c>
      <c r="W86" s="25"/>
      <c r="X86" s="25">
        <v>2018</v>
      </c>
      <c r="Y86" s="62"/>
    </row>
    <row r="87" spans="2:25" ht="52.8">
      <c r="B87" s="20" t="s">
        <v>236</v>
      </c>
      <c r="C87" s="20" t="s">
        <v>36</v>
      </c>
      <c r="D87" s="20" t="s">
        <v>233</v>
      </c>
      <c r="E87" s="20" t="s">
        <v>234</v>
      </c>
      <c r="F87" s="20" t="s">
        <v>235</v>
      </c>
      <c r="G87" s="20"/>
      <c r="H87" s="20" t="s">
        <v>40</v>
      </c>
      <c r="I87" s="20">
        <v>0</v>
      </c>
      <c r="J87" s="22">
        <v>710000000</v>
      </c>
      <c r="K87" s="20" t="s">
        <v>41</v>
      </c>
      <c r="L87" s="20" t="s">
        <v>736</v>
      </c>
      <c r="M87" s="20" t="s">
        <v>42</v>
      </c>
      <c r="N87" s="20" t="s">
        <v>43</v>
      </c>
      <c r="O87" s="23" t="s">
        <v>301</v>
      </c>
      <c r="P87" s="20" t="s">
        <v>302</v>
      </c>
      <c r="Q87" s="20">
        <v>796</v>
      </c>
      <c r="R87" s="20" t="s">
        <v>54</v>
      </c>
      <c r="S87" s="93">
        <v>10</v>
      </c>
      <c r="T87" s="29">
        <v>714.28571428571433</v>
      </c>
      <c r="U87" s="24">
        <v>0</v>
      </c>
      <c r="V87" s="24">
        <f t="shared" si="22"/>
        <v>0</v>
      </c>
      <c r="W87" s="25"/>
      <c r="X87" s="25">
        <v>2018</v>
      </c>
      <c r="Y87" s="62" t="s">
        <v>723</v>
      </c>
    </row>
    <row r="88" spans="2:25" ht="52.8">
      <c r="B88" s="20" t="s">
        <v>734</v>
      </c>
      <c r="C88" s="20" t="s">
        <v>36</v>
      </c>
      <c r="D88" s="20" t="s">
        <v>233</v>
      </c>
      <c r="E88" s="20" t="s">
        <v>234</v>
      </c>
      <c r="F88" s="20" t="s">
        <v>235</v>
      </c>
      <c r="G88" s="20"/>
      <c r="H88" s="20" t="s">
        <v>40</v>
      </c>
      <c r="I88" s="20">
        <v>0</v>
      </c>
      <c r="J88" s="22">
        <v>710000000</v>
      </c>
      <c r="K88" s="20" t="s">
        <v>41</v>
      </c>
      <c r="L88" s="20" t="s">
        <v>736</v>
      </c>
      <c r="M88" s="20" t="s">
        <v>42</v>
      </c>
      <c r="N88" s="20" t="s">
        <v>43</v>
      </c>
      <c r="O88" s="23" t="s">
        <v>301</v>
      </c>
      <c r="P88" s="20" t="s">
        <v>302</v>
      </c>
      <c r="Q88" s="20">
        <v>796</v>
      </c>
      <c r="R88" s="20" t="s">
        <v>54</v>
      </c>
      <c r="S88" s="93">
        <v>5</v>
      </c>
      <c r="T88" s="29">
        <v>714.28571428571433</v>
      </c>
      <c r="U88" s="29">
        <f t="shared" ref="U88" si="26">S88*T88</f>
        <v>3571.4285714285716</v>
      </c>
      <c r="V88" s="24">
        <f t="shared" si="22"/>
        <v>4000</v>
      </c>
      <c r="W88" s="25"/>
      <c r="X88" s="25">
        <v>2018</v>
      </c>
      <c r="Y88" s="62"/>
    </row>
    <row r="89" spans="2:25" ht="52.8">
      <c r="B89" s="20" t="s">
        <v>238</v>
      </c>
      <c r="C89" s="20" t="s">
        <v>36</v>
      </c>
      <c r="D89" s="20" t="s">
        <v>233</v>
      </c>
      <c r="E89" s="20" t="s">
        <v>234</v>
      </c>
      <c r="F89" s="20" t="s">
        <v>237</v>
      </c>
      <c r="G89" s="20"/>
      <c r="H89" s="20" t="s">
        <v>40</v>
      </c>
      <c r="I89" s="20">
        <v>0</v>
      </c>
      <c r="J89" s="22">
        <v>710000000</v>
      </c>
      <c r="K89" s="20" t="s">
        <v>41</v>
      </c>
      <c r="L89" s="20" t="s">
        <v>736</v>
      </c>
      <c r="M89" s="20" t="s">
        <v>42</v>
      </c>
      <c r="N89" s="20" t="s">
        <v>43</v>
      </c>
      <c r="O89" s="23" t="s">
        <v>301</v>
      </c>
      <c r="P89" s="20" t="s">
        <v>302</v>
      </c>
      <c r="Q89" s="20">
        <v>796</v>
      </c>
      <c r="R89" s="20" t="s">
        <v>54</v>
      </c>
      <c r="S89" s="93">
        <v>40</v>
      </c>
      <c r="T89" s="29">
        <v>446.42857142857144</v>
      </c>
      <c r="U89" s="24">
        <v>0</v>
      </c>
      <c r="V89" s="24">
        <f t="shared" si="22"/>
        <v>0</v>
      </c>
      <c r="W89" s="25"/>
      <c r="X89" s="25">
        <v>2018</v>
      </c>
      <c r="Y89" s="62" t="s">
        <v>723</v>
      </c>
    </row>
    <row r="90" spans="2:25" ht="52.8">
      <c r="B90" s="20" t="s">
        <v>735</v>
      </c>
      <c r="C90" s="20" t="s">
        <v>36</v>
      </c>
      <c r="D90" s="20" t="s">
        <v>233</v>
      </c>
      <c r="E90" s="20" t="s">
        <v>234</v>
      </c>
      <c r="F90" s="20" t="s">
        <v>237</v>
      </c>
      <c r="G90" s="20"/>
      <c r="H90" s="20" t="s">
        <v>40</v>
      </c>
      <c r="I90" s="20">
        <v>0</v>
      </c>
      <c r="J90" s="22">
        <v>710000000</v>
      </c>
      <c r="K90" s="20" t="s">
        <v>41</v>
      </c>
      <c r="L90" s="20" t="s">
        <v>736</v>
      </c>
      <c r="M90" s="20" t="s">
        <v>42</v>
      </c>
      <c r="N90" s="20" t="s">
        <v>43</v>
      </c>
      <c r="O90" s="23" t="s">
        <v>301</v>
      </c>
      <c r="P90" s="20" t="s">
        <v>302</v>
      </c>
      <c r="Q90" s="20">
        <v>796</v>
      </c>
      <c r="R90" s="20" t="s">
        <v>54</v>
      </c>
      <c r="S90" s="93">
        <v>5</v>
      </c>
      <c r="T90" s="29">
        <v>446.42857142857144</v>
      </c>
      <c r="U90" s="29">
        <f t="shared" ref="U90" si="27">S90*T90</f>
        <v>2232.1428571428573</v>
      </c>
      <c r="V90" s="24">
        <f t="shared" si="22"/>
        <v>2500</v>
      </c>
      <c r="W90" s="25"/>
      <c r="X90" s="25">
        <v>2018</v>
      </c>
      <c r="Y90" s="62"/>
    </row>
    <row r="91" spans="2:25" ht="52.8">
      <c r="B91" s="20" t="s">
        <v>242</v>
      </c>
      <c r="C91" s="20" t="s">
        <v>36</v>
      </c>
      <c r="D91" s="20" t="s">
        <v>110</v>
      </c>
      <c r="E91" s="20" t="s">
        <v>239</v>
      </c>
      <c r="F91" s="20" t="s">
        <v>240</v>
      </c>
      <c r="G91" s="20" t="s">
        <v>241</v>
      </c>
      <c r="H91" s="20" t="s">
        <v>40</v>
      </c>
      <c r="I91" s="20">
        <v>0</v>
      </c>
      <c r="J91" s="22">
        <v>710000000</v>
      </c>
      <c r="K91" s="20" t="s">
        <v>41</v>
      </c>
      <c r="L91" s="20" t="s">
        <v>736</v>
      </c>
      <c r="M91" s="20" t="s">
        <v>42</v>
      </c>
      <c r="N91" s="20" t="s">
        <v>43</v>
      </c>
      <c r="O91" s="23" t="s">
        <v>301</v>
      </c>
      <c r="P91" s="20" t="s">
        <v>302</v>
      </c>
      <c r="Q91" s="20">
        <v>796</v>
      </c>
      <c r="R91" s="20" t="s">
        <v>54</v>
      </c>
      <c r="S91" s="93">
        <v>7</v>
      </c>
      <c r="T91" s="29">
        <v>1339.2857142857142</v>
      </c>
      <c r="U91" s="24">
        <v>0</v>
      </c>
      <c r="V91" s="24">
        <f t="shared" si="22"/>
        <v>0</v>
      </c>
      <c r="W91" s="25"/>
      <c r="X91" s="25">
        <v>2018</v>
      </c>
      <c r="Y91" s="62" t="s">
        <v>723</v>
      </c>
    </row>
    <row r="92" spans="2:25" ht="52.8">
      <c r="B92" s="20" t="s">
        <v>763</v>
      </c>
      <c r="C92" s="20" t="s">
        <v>36</v>
      </c>
      <c r="D92" s="20" t="s">
        <v>110</v>
      </c>
      <c r="E92" s="20" t="s">
        <v>239</v>
      </c>
      <c r="F92" s="20" t="s">
        <v>240</v>
      </c>
      <c r="G92" s="20" t="s">
        <v>241</v>
      </c>
      <c r="H92" s="20" t="s">
        <v>40</v>
      </c>
      <c r="I92" s="20">
        <v>0</v>
      </c>
      <c r="J92" s="22">
        <v>710000000</v>
      </c>
      <c r="K92" s="20" t="s">
        <v>41</v>
      </c>
      <c r="L92" s="20" t="s">
        <v>736</v>
      </c>
      <c r="M92" s="20" t="s">
        <v>42</v>
      </c>
      <c r="N92" s="20" t="s">
        <v>43</v>
      </c>
      <c r="O92" s="23" t="s">
        <v>301</v>
      </c>
      <c r="P92" s="20" t="s">
        <v>302</v>
      </c>
      <c r="Q92" s="20">
        <v>796</v>
      </c>
      <c r="R92" s="20" t="s">
        <v>54</v>
      </c>
      <c r="S92" s="93">
        <v>5</v>
      </c>
      <c r="T92" s="29">
        <v>1339.2857142857142</v>
      </c>
      <c r="U92" s="29">
        <f t="shared" ref="U92" si="28">S92*T92</f>
        <v>6696.4285714285706</v>
      </c>
      <c r="V92" s="24">
        <f t="shared" si="22"/>
        <v>7499.9999999999991</v>
      </c>
      <c r="W92" s="25"/>
      <c r="X92" s="25">
        <v>2018</v>
      </c>
      <c r="Y92" s="62"/>
    </row>
    <row r="93" spans="2:25" ht="52.8">
      <c r="B93" s="20" t="s">
        <v>246</v>
      </c>
      <c r="C93" s="20" t="s">
        <v>36</v>
      </c>
      <c r="D93" s="20" t="s">
        <v>243</v>
      </c>
      <c r="E93" s="20" t="s">
        <v>244</v>
      </c>
      <c r="F93" s="20" t="s">
        <v>245</v>
      </c>
      <c r="G93" s="20"/>
      <c r="H93" s="20" t="s">
        <v>40</v>
      </c>
      <c r="I93" s="20">
        <v>0</v>
      </c>
      <c r="J93" s="22">
        <v>710000000</v>
      </c>
      <c r="K93" s="20" t="s">
        <v>41</v>
      </c>
      <c r="L93" s="20" t="s">
        <v>736</v>
      </c>
      <c r="M93" s="20" t="s">
        <v>42</v>
      </c>
      <c r="N93" s="20" t="s">
        <v>43</v>
      </c>
      <c r="O93" s="23" t="s">
        <v>301</v>
      </c>
      <c r="P93" s="20" t="s">
        <v>302</v>
      </c>
      <c r="Q93" s="20">
        <v>796</v>
      </c>
      <c r="R93" s="20" t="s">
        <v>54</v>
      </c>
      <c r="S93" s="93">
        <v>1</v>
      </c>
      <c r="T93" s="24">
        <v>1150</v>
      </c>
      <c r="U93" s="24">
        <v>0</v>
      </c>
      <c r="V93" s="24">
        <f t="shared" si="22"/>
        <v>0</v>
      </c>
      <c r="W93" s="25"/>
      <c r="X93" s="25">
        <v>2018</v>
      </c>
      <c r="Y93" s="62" t="s">
        <v>724</v>
      </c>
    </row>
    <row r="94" spans="2:25" ht="52.8">
      <c r="B94" s="20" t="s">
        <v>250</v>
      </c>
      <c r="C94" s="20" t="s">
        <v>36</v>
      </c>
      <c r="D94" s="20" t="s">
        <v>247</v>
      </c>
      <c r="E94" s="28" t="s">
        <v>248</v>
      </c>
      <c r="F94" s="28" t="s">
        <v>249</v>
      </c>
      <c r="G94" s="28"/>
      <c r="H94" s="28" t="s">
        <v>40</v>
      </c>
      <c r="I94" s="28">
        <v>0</v>
      </c>
      <c r="J94" s="22">
        <v>710000000</v>
      </c>
      <c r="K94" s="28" t="s">
        <v>41</v>
      </c>
      <c r="L94" s="20" t="s">
        <v>736</v>
      </c>
      <c r="M94" s="28" t="s">
        <v>42</v>
      </c>
      <c r="N94" s="28" t="s">
        <v>43</v>
      </c>
      <c r="O94" s="23" t="s">
        <v>301</v>
      </c>
      <c r="P94" s="20" t="s">
        <v>302</v>
      </c>
      <c r="Q94" s="28">
        <v>796</v>
      </c>
      <c r="R94" s="28" t="s">
        <v>54</v>
      </c>
      <c r="S94" s="94">
        <v>1</v>
      </c>
      <c r="T94" s="29">
        <v>580.35714285714289</v>
      </c>
      <c r="U94" s="29">
        <f t="shared" ref="U94" si="29">S94*T94</f>
        <v>580.35714285714289</v>
      </c>
      <c r="V94" s="24">
        <f t="shared" si="22"/>
        <v>650</v>
      </c>
      <c r="W94" s="30"/>
      <c r="X94" s="25">
        <v>2018</v>
      </c>
      <c r="Y94" s="62"/>
    </row>
    <row r="95" spans="2:25" ht="52.8">
      <c r="B95" s="20" t="s">
        <v>253</v>
      </c>
      <c r="C95" s="20" t="s">
        <v>36</v>
      </c>
      <c r="D95" s="20" t="s">
        <v>37</v>
      </c>
      <c r="E95" s="20" t="s">
        <v>38</v>
      </c>
      <c r="F95" s="20" t="s">
        <v>251</v>
      </c>
      <c r="G95" s="20" t="s">
        <v>252</v>
      </c>
      <c r="H95" s="20" t="s">
        <v>40</v>
      </c>
      <c r="I95" s="20">
        <v>0</v>
      </c>
      <c r="J95" s="22">
        <v>710000000</v>
      </c>
      <c r="K95" s="20" t="s">
        <v>41</v>
      </c>
      <c r="L95" s="20" t="s">
        <v>736</v>
      </c>
      <c r="M95" s="20" t="s">
        <v>42</v>
      </c>
      <c r="N95" s="20" t="s">
        <v>43</v>
      </c>
      <c r="O95" s="23" t="s">
        <v>301</v>
      </c>
      <c r="P95" s="20" t="s">
        <v>302</v>
      </c>
      <c r="Q95" s="20">
        <v>5111</v>
      </c>
      <c r="R95" s="20" t="s">
        <v>44</v>
      </c>
      <c r="S95" s="93">
        <v>5</v>
      </c>
      <c r="T95" s="24">
        <v>2230</v>
      </c>
      <c r="U95" s="24">
        <v>0</v>
      </c>
      <c r="V95" s="24">
        <f t="shared" si="22"/>
        <v>0</v>
      </c>
      <c r="W95" s="25"/>
      <c r="X95" s="25">
        <v>2018</v>
      </c>
      <c r="Y95" s="62" t="s">
        <v>724</v>
      </c>
    </row>
    <row r="96" spans="2:25" ht="52.8">
      <c r="B96" s="20" t="s">
        <v>257</v>
      </c>
      <c r="C96" s="20" t="s">
        <v>36</v>
      </c>
      <c r="D96" s="20" t="s">
        <v>254</v>
      </c>
      <c r="E96" s="20" t="s">
        <v>255</v>
      </c>
      <c r="F96" s="20" t="s">
        <v>256</v>
      </c>
      <c r="G96" s="20"/>
      <c r="H96" s="20" t="s">
        <v>40</v>
      </c>
      <c r="I96" s="20">
        <v>0</v>
      </c>
      <c r="J96" s="22">
        <v>710000000</v>
      </c>
      <c r="K96" s="20" t="s">
        <v>41</v>
      </c>
      <c r="L96" s="20" t="s">
        <v>736</v>
      </c>
      <c r="M96" s="20" t="s">
        <v>42</v>
      </c>
      <c r="N96" s="20" t="s">
        <v>43</v>
      </c>
      <c r="O96" s="23" t="s">
        <v>301</v>
      </c>
      <c r="P96" s="20" t="s">
        <v>302</v>
      </c>
      <c r="Q96" s="20">
        <v>796</v>
      </c>
      <c r="R96" s="20" t="s">
        <v>54</v>
      </c>
      <c r="S96" s="93">
        <v>20</v>
      </c>
      <c r="T96" s="24">
        <v>151.78</v>
      </c>
      <c r="U96" s="24">
        <v>0</v>
      </c>
      <c r="V96" s="24">
        <f t="shared" si="22"/>
        <v>0</v>
      </c>
      <c r="W96" s="25"/>
      <c r="X96" s="25">
        <v>2018</v>
      </c>
      <c r="Y96" s="62" t="s">
        <v>724</v>
      </c>
    </row>
    <row r="97" spans="2:25" ht="52.8">
      <c r="B97" s="20" t="s">
        <v>260</v>
      </c>
      <c r="C97" s="20" t="s">
        <v>36</v>
      </c>
      <c r="D97" s="20" t="s">
        <v>258</v>
      </c>
      <c r="E97" s="20" t="s">
        <v>255</v>
      </c>
      <c r="F97" s="20" t="s">
        <v>259</v>
      </c>
      <c r="G97" s="20"/>
      <c r="H97" s="20" t="s">
        <v>40</v>
      </c>
      <c r="I97" s="20">
        <v>0</v>
      </c>
      <c r="J97" s="22">
        <v>710000000</v>
      </c>
      <c r="K97" s="20" t="s">
        <v>41</v>
      </c>
      <c r="L97" s="20" t="s">
        <v>736</v>
      </c>
      <c r="M97" s="20" t="s">
        <v>42</v>
      </c>
      <c r="N97" s="20" t="s">
        <v>43</v>
      </c>
      <c r="O97" s="23" t="s">
        <v>301</v>
      </c>
      <c r="P97" s="20" t="s">
        <v>302</v>
      </c>
      <c r="Q97" s="20">
        <v>796</v>
      </c>
      <c r="R97" s="20" t="s">
        <v>54</v>
      </c>
      <c r="S97" s="93">
        <v>20</v>
      </c>
      <c r="T97" s="24">
        <v>133.91999999999999</v>
      </c>
      <c r="U97" s="24">
        <v>0</v>
      </c>
      <c r="V97" s="24">
        <f t="shared" si="22"/>
        <v>0</v>
      </c>
      <c r="W97" s="25"/>
      <c r="X97" s="25">
        <v>2018</v>
      </c>
      <c r="Y97" s="62" t="s">
        <v>724</v>
      </c>
    </row>
    <row r="98" spans="2:25" ht="52.8">
      <c r="B98" s="20" t="s">
        <v>264</v>
      </c>
      <c r="C98" s="20" t="s">
        <v>36</v>
      </c>
      <c r="D98" s="20" t="s">
        <v>261</v>
      </c>
      <c r="E98" s="20" t="s">
        <v>262</v>
      </c>
      <c r="F98" s="20" t="s">
        <v>263</v>
      </c>
      <c r="G98" s="20"/>
      <c r="H98" s="20" t="s">
        <v>40</v>
      </c>
      <c r="I98" s="20">
        <v>0</v>
      </c>
      <c r="J98" s="22">
        <v>710000000</v>
      </c>
      <c r="K98" s="20" t="s">
        <v>41</v>
      </c>
      <c r="L98" s="20" t="s">
        <v>736</v>
      </c>
      <c r="M98" s="20" t="s">
        <v>42</v>
      </c>
      <c r="N98" s="20" t="s">
        <v>43</v>
      </c>
      <c r="O98" s="23" t="s">
        <v>301</v>
      </c>
      <c r="P98" s="20" t="s">
        <v>302</v>
      </c>
      <c r="Q98" s="20">
        <v>796</v>
      </c>
      <c r="R98" s="20" t="s">
        <v>54</v>
      </c>
      <c r="S98" s="93">
        <v>40</v>
      </c>
      <c r="T98" s="24">
        <v>31.25</v>
      </c>
      <c r="U98" s="24">
        <v>0</v>
      </c>
      <c r="V98" s="24">
        <f t="shared" si="22"/>
        <v>0</v>
      </c>
      <c r="W98" s="25"/>
      <c r="X98" s="25">
        <v>2018</v>
      </c>
      <c r="Y98" s="62" t="s">
        <v>724</v>
      </c>
    </row>
    <row r="99" spans="2:25" ht="52.8">
      <c r="B99" s="20" t="s">
        <v>267</v>
      </c>
      <c r="C99" s="20" t="s">
        <v>36</v>
      </c>
      <c r="D99" s="20" t="s">
        <v>265</v>
      </c>
      <c r="E99" s="20" t="s">
        <v>111</v>
      </c>
      <c r="F99" s="20" t="s">
        <v>266</v>
      </c>
      <c r="G99" s="20"/>
      <c r="H99" s="20" t="s">
        <v>40</v>
      </c>
      <c r="I99" s="20">
        <v>0</v>
      </c>
      <c r="J99" s="22">
        <v>710000000</v>
      </c>
      <c r="K99" s="20" t="s">
        <v>41</v>
      </c>
      <c r="L99" s="20" t="s">
        <v>736</v>
      </c>
      <c r="M99" s="20" t="s">
        <v>42</v>
      </c>
      <c r="N99" s="20" t="s">
        <v>43</v>
      </c>
      <c r="O99" s="23" t="s">
        <v>301</v>
      </c>
      <c r="P99" s="20" t="s">
        <v>302</v>
      </c>
      <c r="Q99" s="20">
        <v>796</v>
      </c>
      <c r="R99" s="20" t="s">
        <v>54</v>
      </c>
      <c r="S99" s="93">
        <v>20</v>
      </c>
      <c r="T99" s="24">
        <v>758</v>
      </c>
      <c r="U99" s="24">
        <v>0</v>
      </c>
      <c r="V99" s="24">
        <f t="shared" si="22"/>
        <v>0</v>
      </c>
      <c r="W99" s="25"/>
      <c r="X99" s="25">
        <v>2018</v>
      </c>
      <c r="Y99" s="62" t="s">
        <v>724</v>
      </c>
    </row>
    <row r="100" spans="2:25" ht="52.8">
      <c r="B100" s="20" t="s">
        <v>271</v>
      </c>
      <c r="C100" s="20" t="s">
        <v>36</v>
      </c>
      <c r="D100" s="20" t="s">
        <v>268</v>
      </c>
      <c r="E100" s="20" t="s">
        <v>269</v>
      </c>
      <c r="F100" s="20" t="s">
        <v>270</v>
      </c>
      <c r="G100" s="20"/>
      <c r="H100" s="20" t="s">
        <v>40</v>
      </c>
      <c r="I100" s="20">
        <v>0</v>
      </c>
      <c r="J100" s="22">
        <v>710000000</v>
      </c>
      <c r="K100" s="20" t="s">
        <v>41</v>
      </c>
      <c r="L100" s="20" t="s">
        <v>736</v>
      </c>
      <c r="M100" s="20" t="s">
        <v>42</v>
      </c>
      <c r="N100" s="20" t="s">
        <v>43</v>
      </c>
      <c r="O100" s="23" t="s">
        <v>301</v>
      </c>
      <c r="P100" s="20" t="s">
        <v>302</v>
      </c>
      <c r="Q100" s="20">
        <v>796</v>
      </c>
      <c r="R100" s="20" t="s">
        <v>54</v>
      </c>
      <c r="S100" s="93">
        <v>20</v>
      </c>
      <c r="T100" s="29">
        <v>223.21428571428572</v>
      </c>
      <c r="U100" s="24">
        <v>0</v>
      </c>
      <c r="V100" s="24">
        <f t="shared" si="22"/>
        <v>0</v>
      </c>
      <c r="W100" s="25"/>
      <c r="X100" s="25">
        <v>2018</v>
      </c>
      <c r="Y100" s="62" t="s">
        <v>723</v>
      </c>
    </row>
    <row r="101" spans="2:25" ht="52.8">
      <c r="B101" s="20" t="s">
        <v>764</v>
      </c>
      <c r="C101" s="20" t="s">
        <v>36</v>
      </c>
      <c r="D101" s="20" t="s">
        <v>268</v>
      </c>
      <c r="E101" s="20" t="s">
        <v>269</v>
      </c>
      <c r="F101" s="20" t="s">
        <v>270</v>
      </c>
      <c r="G101" s="20"/>
      <c r="H101" s="20" t="s">
        <v>40</v>
      </c>
      <c r="I101" s="20">
        <v>0</v>
      </c>
      <c r="J101" s="22">
        <v>710000000</v>
      </c>
      <c r="K101" s="20" t="s">
        <v>41</v>
      </c>
      <c r="L101" s="20" t="s">
        <v>736</v>
      </c>
      <c r="M101" s="20" t="s">
        <v>42</v>
      </c>
      <c r="N101" s="20" t="s">
        <v>43</v>
      </c>
      <c r="O101" s="23" t="s">
        <v>301</v>
      </c>
      <c r="P101" s="20" t="s">
        <v>302</v>
      </c>
      <c r="Q101" s="20">
        <v>796</v>
      </c>
      <c r="R101" s="20" t="s">
        <v>54</v>
      </c>
      <c r="S101" s="93">
        <v>10</v>
      </c>
      <c r="T101" s="29">
        <v>223.21428571428572</v>
      </c>
      <c r="U101" s="29">
        <f t="shared" ref="U101" si="30">S101*T101</f>
        <v>2232.1428571428573</v>
      </c>
      <c r="V101" s="24">
        <f t="shared" si="22"/>
        <v>2500</v>
      </c>
      <c r="W101" s="25"/>
      <c r="X101" s="25">
        <v>2018</v>
      </c>
      <c r="Y101" s="62"/>
    </row>
    <row r="102" spans="2:25" ht="52.8">
      <c r="B102" s="20" t="s">
        <v>275</v>
      </c>
      <c r="C102" s="20" t="s">
        <v>36</v>
      </c>
      <c r="D102" s="20" t="s">
        <v>272</v>
      </c>
      <c r="E102" s="20" t="s">
        <v>273</v>
      </c>
      <c r="F102" s="20" t="s">
        <v>274</v>
      </c>
      <c r="G102" s="20"/>
      <c r="H102" s="20" t="s">
        <v>40</v>
      </c>
      <c r="I102" s="20">
        <v>0</v>
      </c>
      <c r="J102" s="22">
        <v>710000000</v>
      </c>
      <c r="K102" s="20" t="s">
        <v>41</v>
      </c>
      <c r="L102" s="20" t="s">
        <v>736</v>
      </c>
      <c r="M102" s="20" t="s">
        <v>42</v>
      </c>
      <c r="N102" s="20" t="s">
        <v>43</v>
      </c>
      <c r="O102" s="23" t="s">
        <v>301</v>
      </c>
      <c r="P102" s="20" t="s">
        <v>302</v>
      </c>
      <c r="Q102" s="20">
        <v>796</v>
      </c>
      <c r="R102" s="20" t="s">
        <v>54</v>
      </c>
      <c r="S102" s="93">
        <v>1</v>
      </c>
      <c r="T102" s="24">
        <v>22320</v>
      </c>
      <c r="U102" s="24">
        <v>0</v>
      </c>
      <c r="V102" s="24">
        <f t="shared" si="22"/>
        <v>0</v>
      </c>
      <c r="W102" s="25"/>
      <c r="X102" s="25">
        <v>2018</v>
      </c>
      <c r="Y102" s="62" t="s">
        <v>724</v>
      </c>
    </row>
    <row r="103" spans="2:25" ht="52.8">
      <c r="B103" s="20" t="s">
        <v>278</v>
      </c>
      <c r="C103" s="20" t="s">
        <v>36</v>
      </c>
      <c r="D103" s="20" t="s">
        <v>276</v>
      </c>
      <c r="E103" s="20" t="s">
        <v>277</v>
      </c>
      <c r="F103" s="20" t="s">
        <v>277</v>
      </c>
      <c r="G103" s="20"/>
      <c r="H103" s="20" t="s">
        <v>40</v>
      </c>
      <c r="I103" s="20">
        <v>0</v>
      </c>
      <c r="J103" s="22">
        <v>710000000</v>
      </c>
      <c r="K103" s="20" t="s">
        <v>41</v>
      </c>
      <c r="L103" s="20" t="s">
        <v>736</v>
      </c>
      <c r="M103" s="20" t="s">
        <v>42</v>
      </c>
      <c r="N103" s="20" t="s">
        <v>43</v>
      </c>
      <c r="O103" s="23" t="s">
        <v>301</v>
      </c>
      <c r="P103" s="20" t="s">
        <v>302</v>
      </c>
      <c r="Q103" s="20">
        <v>796</v>
      </c>
      <c r="R103" s="20" t="s">
        <v>54</v>
      </c>
      <c r="S103" s="93">
        <v>1</v>
      </c>
      <c r="T103" s="29">
        <v>35714.285714285717</v>
      </c>
      <c r="U103" s="29">
        <f t="shared" ref="U103" si="31">S103*T103</f>
        <v>35714.285714285717</v>
      </c>
      <c r="V103" s="24">
        <f t="shared" si="22"/>
        <v>40000</v>
      </c>
      <c r="W103" s="25"/>
      <c r="X103" s="25">
        <v>2018</v>
      </c>
      <c r="Y103" s="62"/>
    </row>
    <row r="104" spans="2:25" ht="52.8">
      <c r="B104" s="20" t="s">
        <v>282</v>
      </c>
      <c r="C104" s="20" t="s">
        <v>36</v>
      </c>
      <c r="D104" s="20" t="s">
        <v>279</v>
      </c>
      <c r="E104" s="20" t="s">
        <v>280</v>
      </c>
      <c r="F104" s="20" t="s">
        <v>281</v>
      </c>
      <c r="G104" s="20"/>
      <c r="H104" s="20" t="s">
        <v>40</v>
      </c>
      <c r="I104" s="20">
        <v>0</v>
      </c>
      <c r="J104" s="22">
        <v>710000000</v>
      </c>
      <c r="K104" s="20" t="s">
        <v>41</v>
      </c>
      <c r="L104" s="20" t="s">
        <v>736</v>
      </c>
      <c r="M104" s="20" t="s">
        <v>42</v>
      </c>
      <c r="N104" s="20" t="s">
        <v>43</v>
      </c>
      <c r="O104" s="23" t="s">
        <v>443</v>
      </c>
      <c r="P104" s="20" t="s">
        <v>302</v>
      </c>
      <c r="Q104" s="20">
        <v>796</v>
      </c>
      <c r="R104" s="20" t="s">
        <v>54</v>
      </c>
      <c r="S104" s="93">
        <v>10</v>
      </c>
      <c r="T104" s="29">
        <v>5089.2857142857147</v>
      </c>
      <c r="U104" s="24">
        <v>0</v>
      </c>
      <c r="V104" s="24">
        <f t="shared" si="22"/>
        <v>0</v>
      </c>
      <c r="W104" s="25"/>
      <c r="X104" s="25">
        <v>2018</v>
      </c>
      <c r="Y104" s="62" t="s">
        <v>723</v>
      </c>
    </row>
    <row r="105" spans="2:25" ht="52.8">
      <c r="B105" s="20" t="s">
        <v>737</v>
      </c>
      <c r="C105" s="20" t="s">
        <v>36</v>
      </c>
      <c r="D105" s="20" t="s">
        <v>279</v>
      </c>
      <c r="E105" s="20" t="s">
        <v>280</v>
      </c>
      <c r="F105" s="20" t="s">
        <v>281</v>
      </c>
      <c r="G105" s="20"/>
      <c r="H105" s="20" t="s">
        <v>40</v>
      </c>
      <c r="I105" s="20">
        <v>0</v>
      </c>
      <c r="J105" s="22">
        <v>710000000</v>
      </c>
      <c r="K105" s="20" t="s">
        <v>41</v>
      </c>
      <c r="L105" s="20" t="s">
        <v>736</v>
      </c>
      <c r="M105" s="20" t="s">
        <v>42</v>
      </c>
      <c r="N105" s="20" t="s">
        <v>43</v>
      </c>
      <c r="O105" s="23" t="s">
        <v>443</v>
      </c>
      <c r="P105" s="20" t="s">
        <v>302</v>
      </c>
      <c r="Q105" s="20">
        <v>796</v>
      </c>
      <c r="R105" s="20" t="s">
        <v>54</v>
      </c>
      <c r="S105" s="93">
        <v>4</v>
      </c>
      <c r="T105" s="29">
        <v>5089.2857142857147</v>
      </c>
      <c r="U105" s="29">
        <f t="shared" ref="U105" si="32">S105*T105</f>
        <v>20357.142857142859</v>
      </c>
      <c r="V105" s="24">
        <f t="shared" si="22"/>
        <v>22800</v>
      </c>
      <c r="W105" s="25"/>
      <c r="X105" s="25">
        <v>2018</v>
      </c>
      <c r="Y105" s="62"/>
    </row>
    <row r="106" spans="2:25" ht="52.8">
      <c r="B106" s="20" t="s">
        <v>286</v>
      </c>
      <c r="C106" s="20" t="s">
        <v>36</v>
      </c>
      <c r="D106" s="20" t="s">
        <v>283</v>
      </c>
      <c r="E106" s="20" t="s">
        <v>284</v>
      </c>
      <c r="F106" s="20" t="s">
        <v>285</v>
      </c>
      <c r="G106" s="20"/>
      <c r="H106" s="20" t="s">
        <v>40</v>
      </c>
      <c r="I106" s="20">
        <v>0</v>
      </c>
      <c r="J106" s="22">
        <v>710000000</v>
      </c>
      <c r="K106" s="20" t="s">
        <v>41</v>
      </c>
      <c r="L106" s="20" t="s">
        <v>736</v>
      </c>
      <c r="M106" s="20" t="s">
        <v>42</v>
      </c>
      <c r="N106" s="20" t="s">
        <v>43</v>
      </c>
      <c r="O106" s="23" t="s">
        <v>443</v>
      </c>
      <c r="P106" s="20" t="s">
        <v>302</v>
      </c>
      <c r="Q106" s="20">
        <v>796</v>
      </c>
      <c r="R106" s="20" t="s">
        <v>54</v>
      </c>
      <c r="S106" s="93">
        <v>40</v>
      </c>
      <c r="T106" s="29">
        <v>1517.8571428571429</v>
      </c>
      <c r="U106" s="24">
        <v>0</v>
      </c>
      <c r="V106" s="24">
        <f t="shared" si="22"/>
        <v>0</v>
      </c>
      <c r="W106" s="25"/>
      <c r="X106" s="25">
        <v>2018</v>
      </c>
      <c r="Y106" s="62" t="s">
        <v>723</v>
      </c>
    </row>
    <row r="107" spans="2:25" ht="52.8">
      <c r="B107" s="20" t="s">
        <v>738</v>
      </c>
      <c r="C107" s="20" t="s">
        <v>36</v>
      </c>
      <c r="D107" s="20" t="s">
        <v>283</v>
      </c>
      <c r="E107" s="20" t="s">
        <v>284</v>
      </c>
      <c r="F107" s="20" t="s">
        <v>285</v>
      </c>
      <c r="G107" s="20"/>
      <c r="H107" s="20" t="s">
        <v>40</v>
      </c>
      <c r="I107" s="20">
        <v>0</v>
      </c>
      <c r="J107" s="22">
        <v>710000000</v>
      </c>
      <c r="K107" s="20" t="s">
        <v>41</v>
      </c>
      <c r="L107" s="20" t="s">
        <v>736</v>
      </c>
      <c r="M107" s="20" t="s">
        <v>42</v>
      </c>
      <c r="N107" s="20" t="s">
        <v>43</v>
      </c>
      <c r="O107" s="23" t="s">
        <v>443</v>
      </c>
      <c r="P107" s="20" t="s">
        <v>302</v>
      </c>
      <c r="Q107" s="20">
        <v>796</v>
      </c>
      <c r="R107" s="20" t="s">
        <v>54</v>
      </c>
      <c r="S107" s="93">
        <v>38</v>
      </c>
      <c r="T107" s="29">
        <v>1517.8571428571429</v>
      </c>
      <c r="U107" s="29">
        <f t="shared" ref="U107" si="33">S107*T107</f>
        <v>57678.571428571428</v>
      </c>
      <c r="V107" s="24">
        <f t="shared" si="22"/>
        <v>64600</v>
      </c>
      <c r="W107" s="25"/>
      <c r="X107" s="25">
        <v>2018</v>
      </c>
      <c r="Y107" s="62"/>
    </row>
    <row r="108" spans="2:25" ht="52.8">
      <c r="B108" s="20" t="s">
        <v>290</v>
      </c>
      <c r="C108" s="20" t="s">
        <v>36</v>
      </c>
      <c r="D108" s="20" t="s">
        <v>287</v>
      </c>
      <c r="E108" s="20" t="s">
        <v>288</v>
      </c>
      <c r="F108" s="20" t="s">
        <v>289</v>
      </c>
      <c r="G108" s="20"/>
      <c r="H108" s="20" t="s">
        <v>40</v>
      </c>
      <c r="I108" s="20">
        <v>0</v>
      </c>
      <c r="J108" s="22">
        <v>710000000</v>
      </c>
      <c r="K108" s="20" t="s">
        <v>41</v>
      </c>
      <c r="L108" s="20" t="s">
        <v>736</v>
      </c>
      <c r="M108" s="20" t="s">
        <v>42</v>
      </c>
      <c r="N108" s="20" t="s">
        <v>43</v>
      </c>
      <c r="O108" s="23" t="s">
        <v>443</v>
      </c>
      <c r="P108" s="20" t="s">
        <v>302</v>
      </c>
      <c r="Q108" s="20">
        <v>796</v>
      </c>
      <c r="R108" s="20" t="s">
        <v>54</v>
      </c>
      <c r="S108" s="93">
        <v>10</v>
      </c>
      <c r="T108" s="29">
        <v>7053.5714285714284</v>
      </c>
      <c r="U108" s="24">
        <v>0</v>
      </c>
      <c r="V108" s="24">
        <f t="shared" si="22"/>
        <v>0</v>
      </c>
      <c r="W108" s="25"/>
      <c r="X108" s="25">
        <v>2018</v>
      </c>
      <c r="Y108" s="62" t="s">
        <v>723</v>
      </c>
    </row>
    <row r="109" spans="2:25" ht="52.8">
      <c r="B109" s="20" t="s">
        <v>739</v>
      </c>
      <c r="C109" s="20" t="s">
        <v>36</v>
      </c>
      <c r="D109" s="20" t="s">
        <v>287</v>
      </c>
      <c r="E109" s="20" t="s">
        <v>288</v>
      </c>
      <c r="F109" s="20" t="s">
        <v>289</v>
      </c>
      <c r="G109" s="20"/>
      <c r="H109" s="20" t="s">
        <v>40</v>
      </c>
      <c r="I109" s="20">
        <v>0</v>
      </c>
      <c r="J109" s="22">
        <v>710000000</v>
      </c>
      <c r="K109" s="20" t="s">
        <v>41</v>
      </c>
      <c r="L109" s="20" t="s">
        <v>736</v>
      </c>
      <c r="M109" s="20" t="s">
        <v>42</v>
      </c>
      <c r="N109" s="20" t="s">
        <v>43</v>
      </c>
      <c r="O109" s="23" t="s">
        <v>443</v>
      </c>
      <c r="P109" s="20" t="s">
        <v>302</v>
      </c>
      <c r="Q109" s="20">
        <v>796</v>
      </c>
      <c r="R109" s="20" t="s">
        <v>54</v>
      </c>
      <c r="S109" s="93">
        <v>1</v>
      </c>
      <c r="T109" s="29">
        <v>7053.5714285714284</v>
      </c>
      <c r="U109" s="29">
        <f t="shared" ref="U109" si="34">S109*T109</f>
        <v>7053.5714285714284</v>
      </c>
      <c r="V109" s="24">
        <f t="shared" si="22"/>
        <v>7900</v>
      </c>
      <c r="W109" s="25"/>
      <c r="X109" s="25">
        <v>2018</v>
      </c>
      <c r="Y109" s="62"/>
    </row>
    <row r="110" spans="2:25" ht="52.8">
      <c r="B110" s="20" t="s">
        <v>294</v>
      </c>
      <c r="C110" s="20" t="s">
        <v>36</v>
      </c>
      <c r="D110" s="20" t="s">
        <v>291</v>
      </c>
      <c r="E110" s="20" t="s">
        <v>292</v>
      </c>
      <c r="F110" s="20" t="s">
        <v>293</v>
      </c>
      <c r="G110" s="20"/>
      <c r="H110" s="20" t="s">
        <v>40</v>
      </c>
      <c r="I110" s="20">
        <v>0</v>
      </c>
      <c r="J110" s="22">
        <v>710000000</v>
      </c>
      <c r="K110" s="20" t="s">
        <v>41</v>
      </c>
      <c r="L110" s="20" t="s">
        <v>736</v>
      </c>
      <c r="M110" s="20" t="s">
        <v>42</v>
      </c>
      <c r="N110" s="20" t="s">
        <v>43</v>
      </c>
      <c r="O110" s="23" t="s">
        <v>443</v>
      </c>
      <c r="P110" s="20" t="s">
        <v>302</v>
      </c>
      <c r="Q110" s="20">
        <v>796</v>
      </c>
      <c r="R110" s="20" t="s">
        <v>54</v>
      </c>
      <c r="S110" s="93">
        <v>10</v>
      </c>
      <c r="T110" s="29">
        <v>4642.8571428571431</v>
      </c>
      <c r="U110" s="24">
        <v>0</v>
      </c>
      <c r="V110" s="24">
        <f t="shared" si="22"/>
        <v>0</v>
      </c>
      <c r="W110" s="25"/>
      <c r="X110" s="25">
        <v>2018</v>
      </c>
      <c r="Y110" s="62" t="s">
        <v>723</v>
      </c>
    </row>
    <row r="111" spans="2:25" ht="52.8">
      <c r="B111" s="20" t="s">
        <v>765</v>
      </c>
      <c r="C111" s="20" t="s">
        <v>36</v>
      </c>
      <c r="D111" s="20" t="s">
        <v>291</v>
      </c>
      <c r="E111" s="20" t="s">
        <v>292</v>
      </c>
      <c r="F111" s="20" t="s">
        <v>293</v>
      </c>
      <c r="G111" s="20"/>
      <c r="H111" s="20" t="s">
        <v>40</v>
      </c>
      <c r="I111" s="20">
        <v>0</v>
      </c>
      <c r="J111" s="22">
        <v>710000000</v>
      </c>
      <c r="K111" s="20" t="s">
        <v>41</v>
      </c>
      <c r="L111" s="20" t="s">
        <v>736</v>
      </c>
      <c r="M111" s="20" t="s">
        <v>42</v>
      </c>
      <c r="N111" s="20" t="s">
        <v>43</v>
      </c>
      <c r="O111" s="23" t="s">
        <v>443</v>
      </c>
      <c r="P111" s="20" t="s">
        <v>302</v>
      </c>
      <c r="Q111" s="20">
        <v>796</v>
      </c>
      <c r="R111" s="20" t="s">
        <v>54</v>
      </c>
      <c r="S111" s="93">
        <v>1</v>
      </c>
      <c r="T111" s="29">
        <v>4642.8571428571431</v>
      </c>
      <c r="U111" s="29">
        <f t="shared" ref="U111:U114" si="35">S111*T111</f>
        <v>4642.8571428571431</v>
      </c>
      <c r="V111" s="24">
        <f t="shared" si="22"/>
        <v>5200</v>
      </c>
      <c r="W111" s="25"/>
      <c r="X111" s="25">
        <v>2018</v>
      </c>
      <c r="Y111" s="62"/>
    </row>
    <row r="112" spans="2:25" ht="52.8">
      <c r="B112" s="20" t="s">
        <v>324</v>
      </c>
      <c r="C112" s="31" t="s">
        <v>36</v>
      </c>
      <c r="D112" s="20" t="s">
        <v>295</v>
      </c>
      <c r="E112" s="20" t="s">
        <v>296</v>
      </c>
      <c r="F112" s="20" t="s">
        <v>297</v>
      </c>
      <c r="G112" s="20"/>
      <c r="H112" s="20" t="s">
        <v>40</v>
      </c>
      <c r="I112" s="20">
        <v>0</v>
      </c>
      <c r="J112" s="22">
        <v>710000000</v>
      </c>
      <c r="K112" s="20" t="s">
        <v>41</v>
      </c>
      <c r="L112" s="20" t="s">
        <v>736</v>
      </c>
      <c r="M112" s="20" t="s">
        <v>42</v>
      </c>
      <c r="N112" s="20" t="s">
        <v>43</v>
      </c>
      <c r="O112" s="23" t="s">
        <v>443</v>
      </c>
      <c r="P112" s="20" t="s">
        <v>302</v>
      </c>
      <c r="Q112" s="20">
        <v>796</v>
      </c>
      <c r="R112" s="20" t="s">
        <v>54</v>
      </c>
      <c r="S112" s="93">
        <v>2</v>
      </c>
      <c r="T112" s="29">
        <v>354464.28571428574</v>
      </c>
      <c r="U112" s="29">
        <f t="shared" si="35"/>
        <v>708928.57142857148</v>
      </c>
      <c r="V112" s="29">
        <f t="shared" si="22"/>
        <v>794000</v>
      </c>
      <c r="W112" s="25"/>
      <c r="X112" s="25">
        <v>2018</v>
      </c>
      <c r="Y112" s="62"/>
    </row>
    <row r="113" spans="1:39" ht="52.8">
      <c r="A113" s="3"/>
      <c r="B113" s="20" t="s">
        <v>325</v>
      </c>
      <c r="C113" s="20" t="s">
        <v>36</v>
      </c>
      <c r="D113" s="26" t="s">
        <v>595</v>
      </c>
      <c r="E113" s="20" t="s">
        <v>596</v>
      </c>
      <c r="F113" s="20" t="s">
        <v>630</v>
      </c>
      <c r="G113" s="61"/>
      <c r="H113" s="20" t="s">
        <v>40</v>
      </c>
      <c r="I113" s="60">
        <v>100</v>
      </c>
      <c r="J113" s="22">
        <v>710000000</v>
      </c>
      <c r="K113" s="20" t="s">
        <v>41</v>
      </c>
      <c r="L113" s="20" t="s">
        <v>736</v>
      </c>
      <c r="M113" s="20" t="s">
        <v>42</v>
      </c>
      <c r="N113" s="22" t="s">
        <v>43</v>
      </c>
      <c r="O113" s="23" t="s">
        <v>443</v>
      </c>
      <c r="P113" s="20" t="s">
        <v>302</v>
      </c>
      <c r="Q113" s="20">
        <v>796</v>
      </c>
      <c r="R113" s="20" t="s">
        <v>54</v>
      </c>
      <c r="S113" s="93">
        <v>7</v>
      </c>
      <c r="T113" s="29">
        <v>22321.428571428572</v>
      </c>
      <c r="U113" s="29">
        <f t="shared" si="35"/>
        <v>156250</v>
      </c>
      <c r="V113" s="29">
        <f t="shared" si="22"/>
        <v>175000</v>
      </c>
      <c r="W113" s="61"/>
      <c r="X113" s="59">
        <v>2018</v>
      </c>
      <c r="Y113" s="62"/>
      <c r="Z113" s="102"/>
      <c r="AA113" s="102"/>
      <c r="AB113" s="10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70.5" customHeight="1">
      <c r="A114" s="3"/>
      <c r="B114" s="20" t="s">
        <v>328</v>
      </c>
      <c r="C114" s="20" t="s">
        <v>36</v>
      </c>
      <c r="D114" s="26" t="s">
        <v>595</v>
      </c>
      <c r="E114" s="20" t="s">
        <v>596</v>
      </c>
      <c r="F114" s="20" t="s">
        <v>631</v>
      </c>
      <c r="G114" s="20" t="s">
        <v>632</v>
      </c>
      <c r="H114" s="20" t="s">
        <v>40</v>
      </c>
      <c r="I114" s="60">
        <v>100</v>
      </c>
      <c r="J114" s="22">
        <v>710000000</v>
      </c>
      <c r="K114" s="20" t="s">
        <v>41</v>
      </c>
      <c r="L114" s="20" t="s">
        <v>736</v>
      </c>
      <c r="M114" s="20" t="s">
        <v>42</v>
      </c>
      <c r="N114" s="22" t="s">
        <v>43</v>
      </c>
      <c r="O114" s="23" t="s">
        <v>443</v>
      </c>
      <c r="P114" s="20" t="s">
        <v>302</v>
      </c>
      <c r="Q114" s="20">
        <v>796</v>
      </c>
      <c r="R114" s="20" t="s">
        <v>54</v>
      </c>
      <c r="S114" s="93">
        <v>2</v>
      </c>
      <c r="T114" s="29">
        <v>71428.571428571435</v>
      </c>
      <c r="U114" s="29">
        <f t="shared" si="35"/>
        <v>142857.14285714287</v>
      </c>
      <c r="V114" s="29">
        <f t="shared" si="22"/>
        <v>160000</v>
      </c>
      <c r="W114" s="61"/>
      <c r="X114" s="59">
        <v>2018</v>
      </c>
      <c r="Y114" s="62"/>
      <c r="Z114" s="102"/>
      <c r="AA114" s="102"/>
      <c r="AB114" s="10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66">
      <c r="A115" s="3"/>
      <c r="B115" s="20" t="s">
        <v>331</v>
      </c>
      <c r="C115" s="20" t="s">
        <v>36</v>
      </c>
      <c r="D115" s="26" t="s">
        <v>595</v>
      </c>
      <c r="E115" s="20" t="s">
        <v>596</v>
      </c>
      <c r="F115" s="20" t="s">
        <v>633</v>
      </c>
      <c r="G115" s="20" t="s">
        <v>634</v>
      </c>
      <c r="H115" s="20" t="s">
        <v>40</v>
      </c>
      <c r="I115" s="60">
        <v>100</v>
      </c>
      <c r="J115" s="22">
        <v>710000000</v>
      </c>
      <c r="K115" s="20" t="s">
        <v>41</v>
      </c>
      <c r="L115" s="20" t="s">
        <v>736</v>
      </c>
      <c r="M115" s="20" t="s">
        <v>42</v>
      </c>
      <c r="N115" s="22" t="s">
        <v>43</v>
      </c>
      <c r="O115" s="23" t="s">
        <v>443</v>
      </c>
      <c r="P115" s="20" t="s">
        <v>302</v>
      </c>
      <c r="Q115" s="20">
        <v>796</v>
      </c>
      <c r="R115" s="20" t="s">
        <v>54</v>
      </c>
      <c r="S115" s="93">
        <v>1</v>
      </c>
      <c r="T115" s="29">
        <v>460714.28571428574</v>
      </c>
      <c r="U115" s="29">
        <v>0</v>
      </c>
      <c r="V115" s="29">
        <f t="shared" si="22"/>
        <v>0</v>
      </c>
      <c r="W115" s="61"/>
      <c r="X115" s="59">
        <v>2018</v>
      </c>
      <c r="Y115" s="62" t="s">
        <v>724</v>
      </c>
      <c r="Z115" s="102"/>
      <c r="AA115" s="102"/>
      <c r="AB115" s="10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s="73" customFormat="1" ht="52.8">
      <c r="B116" s="20" t="s">
        <v>334</v>
      </c>
      <c r="C116" s="75" t="s">
        <v>36</v>
      </c>
      <c r="D116" s="74" t="s">
        <v>595</v>
      </c>
      <c r="E116" s="75" t="s">
        <v>596</v>
      </c>
      <c r="F116" s="75" t="s">
        <v>599</v>
      </c>
      <c r="G116" s="75" t="s">
        <v>635</v>
      </c>
      <c r="H116" s="75" t="s">
        <v>40</v>
      </c>
      <c r="I116" s="69">
        <v>100</v>
      </c>
      <c r="J116" s="68">
        <v>710000000</v>
      </c>
      <c r="K116" s="75" t="s">
        <v>41</v>
      </c>
      <c r="L116" s="68" t="s">
        <v>736</v>
      </c>
      <c r="M116" s="75" t="s">
        <v>42</v>
      </c>
      <c r="N116" s="68" t="s">
        <v>43</v>
      </c>
      <c r="O116" s="76" t="s">
        <v>443</v>
      </c>
      <c r="P116" s="20" t="s">
        <v>302</v>
      </c>
      <c r="Q116" s="75">
        <v>796</v>
      </c>
      <c r="R116" s="75" t="s">
        <v>54</v>
      </c>
      <c r="S116" s="95">
        <v>1</v>
      </c>
      <c r="T116" s="63">
        <v>267857.14285714284</v>
      </c>
      <c r="U116" s="63">
        <f t="shared" ref="U116:U176" si="36">S116*T116</f>
        <v>267857.14285714284</v>
      </c>
      <c r="V116" s="64">
        <f t="shared" si="22"/>
        <v>300000</v>
      </c>
      <c r="W116" s="77"/>
      <c r="X116" s="71">
        <v>2018</v>
      </c>
      <c r="Y116" s="72"/>
      <c r="Z116" s="103"/>
      <c r="AA116" s="103"/>
      <c r="AB116" s="103"/>
    </row>
    <row r="117" spans="1:39" ht="52.8">
      <c r="A117" s="3"/>
      <c r="B117" s="20" t="s">
        <v>336</v>
      </c>
      <c r="C117" s="20" t="s">
        <v>36</v>
      </c>
      <c r="D117" s="39" t="s">
        <v>37</v>
      </c>
      <c r="E117" s="20" t="s">
        <v>835</v>
      </c>
      <c r="F117" s="20" t="s">
        <v>299</v>
      </c>
      <c r="G117" s="20"/>
      <c r="H117" s="20" t="s">
        <v>40</v>
      </c>
      <c r="I117" s="20">
        <v>0</v>
      </c>
      <c r="J117" s="22">
        <v>710000000</v>
      </c>
      <c r="K117" s="20" t="s">
        <v>41</v>
      </c>
      <c r="L117" s="20" t="s">
        <v>670</v>
      </c>
      <c r="M117" s="20" t="s">
        <v>42</v>
      </c>
      <c r="N117" s="20" t="s">
        <v>43</v>
      </c>
      <c r="O117" s="23" t="s">
        <v>301</v>
      </c>
      <c r="P117" s="20" t="s">
        <v>302</v>
      </c>
      <c r="Q117" s="20">
        <v>5111</v>
      </c>
      <c r="R117" s="20" t="s">
        <v>44</v>
      </c>
      <c r="S117" s="93">
        <v>930</v>
      </c>
      <c r="T117" s="29">
        <v>982</v>
      </c>
      <c r="U117" s="29">
        <f t="shared" si="36"/>
        <v>913260</v>
      </c>
      <c r="V117" s="29">
        <f t="shared" si="22"/>
        <v>1022851.2</v>
      </c>
      <c r="W117" s="25"/>
      <c r="X117" s="25">
        <v>2018</v>
      </c>
      <c r="Y117" s="62"/>
      <c r="Z117" s="102"/>
      <c r="AA117" s="102"/>
      <c r="AB117" s="10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52.8">
      <c r="A118" s="3"/>
      <c r="B118" s="20" t="s">
        <v>338</v>
      </c>
      <c r="C118" s="20" t="s">
        <v>36</v>
      </c>
      <c r="D118" s="39" t="s">
        <v>45</v>
      </c>
      <c r="E118" s="20" t="s">
        <v>835</v>
      </c>
      <c r="F118" s="20" t="s">
        <v>303</v>
      </c>
      <c r="G118" s="20"/>
      <c r="H118" s="20" t="s">
        <v>40</v>
      </c>
      <c r="I118" s="20">
        <v>0</v>
      </c>
      <c r="J118" s="22">
        <v>710000000</v>
      </c>
      <c r="K118" s="20" t="s">
        <v>41</v>
      </c>
      <c r="L118" s="20" t="s">
        <v>386</v>
      </c>
      <c r="M118" s="20" t="s">
        <v>42</v>
      </c>
      <c r="N118" s="20" t="s">
        <v>43</v>
      </c>
      <c r="O118" s="23" t="s">
        <v>301</v>
      </c>
      <c r="P118" s="20" t="s">
        <v>302</v>
      </c>
      <c r="Q118" s="20">
        <v>5111</v>
      </c>
      <c r="R118" s="20" t="s">
        <v>44</v>
      </c>
      <c r="S118" s="93">
        <v>310</v>
      </c>
      <c r="T118" s="29">
        <v>1928</v>
      </c>
      <c r="U118" s="29">
        <f t="shared" si="36"/>
        <v>597680</v>
      </c>
      <c r="V118" s="29">
        <f t="shared" si="22"/>
        <v>669401.59999999998</v>
      </c>
      <c r="W118" s="25"/>
      <c r="X118" s="25">
        <v>2018</v>
      </c>
      <c r="Y118" s="62"/>
      <c r="Z118" s="102"/>
      <c r="AA118" s="102"/>
      <c r="AB118" s="10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52.8">
      <c r="A119" s="3"/>
      <c r="B119" s="20" t="s">
        <v>340</v>
      </c>
      <c r="C119" s="20" t="s">
        <v>36</v>
      </c>
      <c r="D119" s="28" t="s">
        <v>47</v>
      </c>
      <c r="E119" s="20" t="s">
        <v>304</v>
      </c>
      <c r="F119" s="20" t="s">
        <v>305</v>
      </c>
      <c r="G119" s="20"/>
      <c r="H119" s="20" t="s">
        <v>40</v>
      </c>
      <c r="I119" s="20">
        <v>0</v>
      </c>
      <c r="J119" s="22">
        <v>710000000</v>
      </c>
      <c r="K119" s="20" t="s">
        <v>41</v>
      </c>
      <c r="L119" s="20" t="s">
        <v>386</v>
      </c>
      <c r="M119" s="20" t="s">
        <v>42</v>
      </c>
      <c r="N119" s="20" t="s">
        <v>43</v>
      </c>
      <c r="O119" s="23" t="s">
        <v>301</v>
      </c>
      <c r="P119" s="20" t="s">
        <v>302</v>
      </c>
      <c r="Q119" s="20">
        <v>5111</v>
      </c>
      <c r="R119" s="20" t="s">
        <v>44</v>
      </c>
      <c r="S119" s="93">
        <v>620</v>
      </c>
      <c r="T119" s="29">
        <v>727</v>
      </c>
      <c r="U119" s="29">
        <f t="shared" si="36"/>
        <v>450740</v>
      </c>
      <c r="V119" s="29">
        <f t="shared" si="22"/>
        <v>504828.8</v>
      </c>
      <c r="W119" s="25"/>
      <c r="X119" s="25">
        <v>2018</v>
      </c>
      <c r="Y119" s="62"/>
      <c r="Z119" s="102"/>
      <c r="AA119" s="102"/>
      <c r="AB119" s="10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52.8">
      <c r="A120" s="3"/>
      <c r="B120" s="20" t="s">
        <v>342</v>
      </c>
      <c r="C120" s="20" t="s">
        <v>36</v>
      </c>
      <c r="D120" s="28" t="s">
        <v>51</v>
      </c>
      <c r="E120" s="20" t="s">
        <v>52</v>
      </c>
      <c r="F120" s="20" t="s">
        <v>53</v>
      </c>
      <c r="G120" s="20"/>
      <c r="H120" s="20" t="s">
        <v>40</v>
      </c>
      <c r="I120" s="20">
        <v>0</v>
      </c>
      <c r="J120" s="22">
        <v>710000000</v>
      </c>
      <c r="K120" s="20" t="s">
        <v>41</v>
      </c>
      <c r="L120" s="20" t="s">
        <v>386</v>
      </c>
      <c r="M120" s="20" t="s">
        <v>42</v>
      </c>
      <c r="N120" s="20" t="s">
        <v>43</v>
      </c>
      <c r="O120" s="23" t="s">
        <v>301</v>
      </c>
      <c r="P120" s="20" t="s">
        <v>302</v>
      </c>
      <c r="Q120" s="20">
        <v>796</v>
      </c>
      <c r="R120" s="20" t="s">
        <v>54</v>
      </c>
      <c r="S120" s="93">
        <v>31</v>
      </c>
      <c r="T120" s="29">
        <v>4464</v>
      </c>
      <c r="U120" s="29">
        <f t="shared" si="36"/>
        <v>138384</v>
      </c>
      <c r="V120" s="29">
        <f t="shared" si="22"/>
        <v>154990.07999999999</v>
      </c>
      <c r="W120" s="25"/>
      <c r="X120" s="25">
        <v>2018</v>
      </c>
      <c r="Y120" s="62"/>
      <c r="Z120" s="102"/>
      <c r="AA120" s="102"/>
      <c r="AB120" s="10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52.8">
      <c r="A121" s="3"/>
      <c r="B121" s="20" t="s">
        <v>344</v>
      </c>
      <c r="C121" s="20" t="s">
        <v>36</v>
      </c>
      <c r="D121" s="28" t="s">
        <v>56</v>
      </c>
      <c r="E121" s="20" t="s">
        <v>57</v>
      </c>
      <c r="F121" s="20" t="s">
        <v>58</v>
      </c>
      <c r="G121" s="20"/>
      <c r="H121" s="20" t="s">
        <v>40</v>
      </c>
      <c r="I121" s="20">
        <v>0</v>
      </c>
      <c r="J121" s="22">
        <v>710000000</v>
      </c>
      <c r="K121" s="20" t="s">
        <v>41</v>
      </c>
      <c r="L121" s="20" t="s">
        <v>386</v>
      </c>
      <c r="M121" s="20" t="s">
        <v>42</v>
      </c>
      <c r="N121" s="20" t="s">
        <v>43</v>
      </c>
      <c r="O121" s="23" t="s">
        <v>301</v>
      </c>
      <c r="P121" s="20" t="s">
        <v>302</v>
      </c>
      <c r="Q121" s="20">
        <v>796</v>
      </c>
      <c r="R121" s="20" t="s">
        <v>54</v>
      </c>
      <c r="S121" s="93">
        <v>1</v>
      </c>
      <c r="T121" s="29">
        <v>294</v>
      </c>
      <c r="U121" s="29">
        <f t="shared" si="36"/>
        <v>294</v>
      </c>
      <c r="V121" s="29">
        <f t="shared" si="22"/>
        <v>329.28</v>
      </c>
      <c r="W121" s="25"/>
      <c r="X121" s="25">
        <v>2018</v>
      </c>
      <c r="Y121" s="62"/>
      <c r="Z121" s="102"/>
      <c r="AA121" s="102"/>
      <c r="AB121" s="10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52.8">
      <c r="A122" s="3"/>
      <c r="B122" s="20" t="s">
        <v>346</v>
      </c>
      <c r="C122" s="20" t="s">
        <v>36</v>
      </c>
      <c r="D122" s="28" t="s">
        <v>56</v>
      </c>
      <c r="E122" s="20" t="s">
        <v>57</v>
      </c>
      <c r="F122" s="20" t="s">
        <v>60</v>
      </c>
      <c r="G122" s="20"/>
      <c r="H122" s="20" t="s">
        <v>40</v>
      </c>
      <c r="I122" s="20">
        <v>0</v>
      </c>
      <c r="J122" s="22">
        <v>710000000</v>
      </c>
      <c r="K122" s="20" t="s">
        <v>41</v>
      </c>
      <c r="L122" s="20" t="s">
        <v>386</v>
      </c>
      <c r="M122" s="20" t="s">
        <v>42</v>
      </c>
      <c r="N122" s="20" t="s">
        <v>43</v>
      </c>
      <c r="O122" s="23" t="s">
        <v>301</v>
      </c>
      <c r="P122" s="20" t="s">
        <v>302</v>
      </c>
      <c r="Q122" s="20">
        <v>796</v>
      </c>
      <c r="R122" s="20" t="s">
        <v>54</v>
      </c>
      <c r="S122" s="93">
        <v>1</v>
      </c>
      <c r="T122" s="29">
        <v>294</v>
      </c>
      <c r="U122" s="29">
        <f t="shared" si="36"/>
        <v>294</v>
      </c>
      <c r="V122" s="29">
        <f t="shared" si="22"/>
        <v>329.28</v>
      </c>
      <c r="W122" s="25"/>
      <c r="X122" s="25">
        <v>2018</v>
      </c>
      <c r="Y122" s="62"/>
      <c r="Z122" s="102"/>
      <c r="AA122" s="102"/>
      <c r="AB122" s="10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52.8">
      <c r="A123" s="3"/>
      <c r="B123" s="20" t="s">
        <v>348</v>
      </c>
      <c r="C123" s="20" t="s">
        <v>36</v>
      </c>
      <c r="D123" s="28" t="s">
        <v>56</v>
      </c>
      <c r="E123" s="20" t="s">
        <v>57</v>
      </c>
      <c r="F123" s="20" t="s">
        <v>62</v>
      </c>
      <c r="G123" s="20"/>
      <c r="H123" s="20" t="s">
        <v>40</v>
      </c>
      <c r="I123" s="20">
        <v>0</v>
      </c>
      <c r="J123" s="22">
        <v>710000000</v>
      </c>
      <c r="K123" s="20" t="s">
        <v>41</v>
      </c>
      <c r="L123" s="20" t="s">
        <v>386</v>
      </c>
      <c r="M123" s="20" t="s">
        <v>42</v>
      </c>
      <c r="N123" s="20" t="s">
        <v>43</v>
      </c>
      <c r="O123" s="23" t="s">
        <v>301</v>
      </c>
      <c r="P123" s="20" t="s">
        <v>302</v>
      </c>
      <c r="Q123" s="20">
        <v>796</v>
      </c>
      <c r="R123" s="20" t="s">
        <v>54</v>
      </c>
      <c r="S123" s="93">
        <v>1</v>
      </c>
      <c r="T123" s="29">
        <v>294</v>
      </c>
      <c r="U123" s="29">
        <f t="shared" si="36"/>
        <v>294</v>
      </c>
      <c r="V123" s="29">
        <f t="shared" si="22"/>
        <v>329.28</v>
      </c>
      <c r="W123" s="25"/>
      <c r="X123" s="25">
        <v>2018</v>
      </c>
      <c r="Y123" s="62"/>
      <c r="Z123" s="102"/>
      <c r="AA123" s="102"/>
      <c r="AB123" s="10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52.8">
      <c r="A124" s="3"/>
      <c r="B124" s="20" t="s">
        <v>350</v>
      </c>
      <c r="C124" s="20" t="s">
        <v>36</v>
      </c>
      <c r="D124" s="28" t="s">
        <v>56</v>
      </c>
      <c r="E124" s="20" t="s">
        <v>57</v>
      </c>
      <c r="F124" s="20" t="s">
        <v>64</v>
      </c>
      <c r="G124" s="20"/>
      <c r="H124" s="20" t="s">
        <v>40</v>
      </c>
      <c r="I124" s="20">
        <v>0</v>
      </c>
      <c r="J124" s="22">
        <v>710000000</v>
      </c>
      <c r="K124" s="20" t="s">
        <v>41</v>
      </c>
      <c r="L124" s="20" t="s">
        <v>386</v>
      </c>
      <c r="M124" s="20" t="s">
        <v>42</v>
      </c>
      <c r="N124" s="20" t="s">
        <v>43</v>
      </c>
      <c r="O124" s="23" t="s">
        <v>301</v>
      </c>
      <c r="P124" s="20" t="s">
        <v>302</v>
      </c>
      <c r="Q124" s="20">
        <v>796</v>
      </c>
      <c r="R124" s="20" t="s">
        <v>54</v>
      </c>
      <c r="S124" s="93">
        <v>5</v>
      </c>
      <c r="T124" s="29">
        <v>294</v>
      </c>
      <c r="U124" s="29">
        <f t="shared" si="36"/>
        <v>1470</v>
      </c>
      <c r="V124" s="29">
        <f t="shared" si="22"/>
        <v>1646.4</v>
      </c>
      <c r="W124" s="25"/>
      <c r="X124" s="25">
        <v>2018</v>
      </c>
      <c r="Y124" s="62"/>
      <c r="Z124" s="102"/>
      <c r="AA124" s="102"/>
      <c r="AB124" s="10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52.8">
      <c r="A125" s="3"/>
      <c r="B125" s="20" t="s">
        <v>353</v>
      </c>
      <c r="C125" s="20" t="s">
        <v>36</v>
      </c>
      <c r="D125" s="28" t="s">
        <v>70</v>
      </c>
      <c r="E125" s="20" t="s">
        <v>71</v>
      </c>
      <c r="F125" s="20" t="s">
        <v>306</v>
      </c>
      <c r="G125" s="20"/>
      <c r="H125" s="20" t="s">
        <v>40</v>
      </c>
      <c r="I125" s="20">
        <v>0</v>
      </c>
      <c r="J125" s="22">
        <v>710000000</v>
      </c>
      <c r="K125" s="20" t="s">
        <v>41</v>
      </c>
      <c r="L125" s="20" t="s">
        <v>386</v>
      </c>
      <c r="M125" s="20" t="s">
        <v>42</v>
      </c>
      <c r="N125" s="20" t="s">
        <v>43</v>
      </c>
      <c r="O125" s="23" t="s">
        <v>301</v>
      </c>
      <c r="P125" s="20" t="s">
        <v>302</v>
      </c>
      <c r="Q125" s="20">
        <v>796</v>
      </c>
      <c r="R125" s="20" t="s">
        <v>54</v>
      </c>
      <c r="S125" s="93">
        <v>1</v>
      </c>
      <c r="T125" s="29">
        <v>294</v>
      </c>
      <c r="U125" s="29">
        <f t="shared" si="36"/>
        <v>294</v>
      </c>
      <c r="V125" s="29">
        <f t="shared" si="22"/>
        <v>329.28</v>
      </c>
      <c r="W125" s="25"/>
      <c r="X125" s="25">
        <v>2018</v>
      </c>
      <c r="Y125" s="62"/>
      <c r="Z125" s="102"/>
      <c r="AA125" s="102"/>
      <c r="AB125" s="10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52.8">
      <c r="A126" s="3"/>
      <c r="B126" s="20" t="s">
        <v>355</v>
      </c>
      <c r="C126" s="20" t="s">
        <v>36</v>
      </c>
      <c r="D126" s="28" t="s">
        <v>56</v>
      </c>
      <c r="E126" s="20" t="s">
        <v>57</v>
      </c>
      <c r="F126" s="20" t="s">
        <v>66</v>
      </c>
      <c r="G126" s="20"/>
      <c r="H126" s="20" t="s">
        <v>40</v>
      </c>
      <c r="I126" s="20">
        <v>0</v>
      </c>
      <c r="J126" s="22">
        <v>710000000</v>
      </c>
      <c r="K126" s="20" t="s">
        <v>41</v>
      </c>
      <c r="L126" s="20" t="s">
        <v>386</v>
      </c>
      <c r="M126" s="20" t="s">
        <v>42</v>
      </c>
      <c r="N126" s="20" t="s">
        <v>43</v>
      </c>
      <c r="O126" s="23" t="s">
        <v>301</v>
      </c>
      <c r="P126" s="20" t="s">
        <v>302</v>
      </c>
      <c r="Q126" s="20">
        <v>796</v>
      </c>
      <c r="R126" s="20" t="s">
        <v>54</v>
      </c>
      <c r="S126" s="93">
        <v>3</v>
      </c>
      <c r="T126" s="29">
        <v>294</v>
      </c>
      <c r="U126" s="29">
        <f t="shared" si="36"/>
        <v>882</v>
      </c>
      <c r="V126" s="29">
        <f t="shared" si="22"/>
        <v>987.84</v>
      </c>
      <c r="W126" s="25"/>
      <c r="X126" s="25">
        <v>2018</v>
      </c>
      <c r="Y126" s="62"/>
      <c r="Z126" s="102"/>
      <c r="AA126" s="102"/>
      <c r="AB126" s="10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52.8">
      <c r="A127" s="3"/>
      <c r="B127" s="20" t="s">
        <v>357</v>
      </c>
      <c r="C127" s="20" t="s">
        <v>36</v>
      </c>
      <c r="D127" s="28" t="s">
        <v>56</v>
      </c>
      <c r="E127" s="20" t="s">
        <v>57</v>
      </c>
      <c r="F127" s="20" t="s">
        <v>68</v>
      </c>
      <c r="G127" s="20"/>
      <c r="H127" s="20" t="s">
        <v>40</v>
      </c>
      <c r="I127" s="20">
        <v>0</v>
      </c>
      <c r="J127" s="22">
        <v>710000000</v>
      </c>
      <c r="K127" s="20" t="s">
        <v>41</v>
      </c>
      <c r="L127" s="20" t="s">
        <v>386</v>
      </c>
      <c r="M127" s="20" t="s">
        <v>42</v>
      </c>
      <c r="N127" s="20" t="s">
        <v>43</v>
      </c>
      <c r="O127" s="23" t="s">
        <v>301</v>
      </c>
      <c r="P127" s="20" t="s">
        <v>302</v>
      </c>
      <c r="Q127" s="20">
        <v>796</v>
      </c>
      <c r="R127" s="20" t="s">
        <v>54</v>
      </c>
      <c r="S127" s="93">
        <v>1</v>
      </c>
      <c r="T127" s="29">
        <v>294</v>
      </c>
      <c r="U127" s="29">
        <f t="shared" si="36"/>
        <v>294</v>
      </c>
      <c r="V127" s="29">
        <f t="shared" si="22"/>
        <v>329.28</v>
      </c>
      <c r="W127" s="25"/>
      <c r="X127" s="25">
        <v>2018</v>
      </c>
      <c r="Y127" s="62"/>
      <c r="Z127" s="102"/>
      <c r="AA127" s="102"/>
      <c r="AB127" s="10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52.8">
      <c r="A128" s="3"/>
      <c r="B128" s="20" t="s">
        <v>359</v>
      </c>
      <c r="C128" s="20" t="s">
        <v>36</v>
      </c>
      <c r="D128" s="28" t="s">
        <v>74</v>
      </c>
      <c r="E128" s="20" t="s">
        <v>75</v>
      </c>
      <c r="F128" s="20" t="s">
        <v>307</v>
      </c>
      <c r="G128" s="20"/>
      <c r="H128" s="20" t="s">
        <v>40</v>
      </c>
      <c r="I128" s="20">
        <v>0</v>
      </c>
      <c r="J128" s="22">
        <v>710000000</v>
      </c>
      <c r="K128" s="20" t="s">
        <v>41</v>
      </c>
      <c r="L128" s="20" t="s">
        <v>386</v>
      </c>
      <c r="M128" s="20" t="s">
        <v>42</v>
      </c>
      <c r="N128" s="20" t="s">
        <v>43</v>
      </c>
      <c r="O128" s="23" t="s">
        <v>301</v>
      </c>
      <c r="P128" s="20" t="s">
        <v>302</v>
      </c>
      <c r="Q128" s="20">
        <v>778</v>
      </c>
      <c r="R128" s="20" t="s">
        <v>77</v>
      </c>
      <c r="S128" s="93">
        <v>62</v>
      </c>
      <c r="T128" s="29">
        <v>129</v>
      </c>
      <c r="U128" s="29">
        <f t="shared" si="36"/>
        <v>7998</v>
      </c>
      <c r="V128" s="29">
        <f t="shared" si="22"/>
        <v>8957.76</v>
      </c>
      <c r="W128" s="25"/>
      <c r="X128" s="25">
        <v>2018</v>
      </c>
      <c r="Y128" s="62"/>
      <c r="Z128" s="102"/>
      <c r="AA128" s="102"/>
      <c r="AB128" s="10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52.8">
      <c r="A129" s="3"/>
      <c r="B129" s="20" t="s">
        <v>361</v>
      </c>
      <c r="C129" s="28" t="s">
        <v>36</v>
      </c>
      <c r="D129" s="22" t="s">
        <v>74</v>
      </c>
      <c r="E129" s="28" t="s">
        <v>75</v>
      </c>
      <c r="F129" s="20" t="s">
        <v>308</v>
      </c>
      <c r="G129" s="28"/>
      <c r="H129" s="20" t="s">
        <v>40</v>
      </c>
      <c r="I129" s="28">
        <v>0</v>
      </c>
      <c r="J129" s="22">
        <v>710000000</v>
      </c>
      <c r="K129" s="28" t="s">
        <v>41</v>
      </c>
      <c r="L129" s="20" t="s">
        <v>386</v>
      </c>
      <c r="M129" s="28" t="s">
        <v>42</v>
      </c>
      <c r="N129" s="28" t="s">
        <v>43</v>
      </c>
      <c r="O129" s="23" t="s">
        <v>301</v>
      </c>
      <c r="P129" s="20" t="s">
        <v>302</v>
      </c>
      <c r="Q129" s="20">
        <v>778</v>
      </c>
      <c r="R129" s="28" t="s">
        <v>77</v>
      </c>
      <c r="S129" s="94">
        <v>62</v>
      </c>
      <c r="T129" s="29">
        <v>828</v>
      </c>
      <c r="U129" s="29">
        <f t="shared" si="36"/>
        <v>51336</v>
      </c>
      <c r="V129" s="29">
        <f t="shared" si="22"/>
        <v>57496.32</v>
      </c>
      <c r="W129" s="30"/>
      <c r="X129" s="30">
        <v>2018</v>
      </c>
      <c r="Y129" s="62"/>
      <c r="Z129" s="102"/>
      <c r="AA129" s="102"/>
      <c r="AB129" s="10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52.8">
      <c r="A130" s="3"/>
      <c r="B130" s="20" t="s">
        <v>365</v>
      </c>
      <c r="C130" s="20" t="s">
        <v>36</v>
      </c>
      <c r="D130" s="28" t="s">
        <v>81</v>
      </c>
      <c r="E130" s="20" t="s">
        <v>82</v>
      </c>
      <c r="F130" s="20" t="s">
        <v>309</v>
      </c>
      <c r="G130" s="28"/>
      <c r="H130" s="20" t="s">
        <v>40</v>
      </c>
      <c r="I130" s="20">
        <v>0</v>
      </c>
      <c r="J130" s="22">
        <v>710000000</v>
      </c>
      <c r="K130" s="20" t="s">
        <v>41</v>
      </c>
      <c r="L130" s="20" t="s">
        <v>386</v>
      </c>
      <c r="M130" s="20" t="s">
        <v>42</v>
      </c>
      <c r="N130" s="20" t="s">
        <v>43</v>
      </c>
      <c r="O130" s="23" t="s">
        <v>301</v>
      </c>
      <c r="P130" s="20" t="s">
        <v>302</v>
      </c>
      <c r="Q130" s="20">
        <v>796</v>
      </c>
      <c r="R130" s="20" t="s">
        <v>54</v>
      </c>
      <c r="S130" s="93">
        <v>31</v>
      </c>
      <c r="T130" s="29">
        <v>3482</v>
      </c>
      <c r="U130" s="29">
        <f t="shared" si="36"/>
        <v>107942</v>
      </c>
      <c r="V130" s="29">
        <f t="shared" si="22"/>
        <v>120895.03999999999</v>
      </c>
      <c r="W130" s="25"/>
      <c r="X130" s="25">
        <v>2018</v>
      </c>
      <c r="Y130" s="62"/>
      <c r="Z130" s="102"/>
      <c r="AA130" s="102"/>
      <c r="AB130" s="10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52.8">
      <c r="A131" s="3"/>
      <c r="B131" s="20" t="s">
        <v>368</v>
      </c>
      <c r="C131" s="20" t="s">
        <v>36</v>
      </c>
      <c r="D131" s="28" t="s">
        <v>86</v>
      </c>
      <c r="E131" s="20" t="s">
        <v>87</v>
      </c>
      <c r="F131" s="20" t="s">
        <v>310</v>
      </c>
      <c r="G131" s="20"/>
      <c r="H131" s="20" t="s">
        <v>40</v>
      </c>
      <c r="I131" s="20">
        <v>0</v>
      </c>
      <c r="J131" s="22">
        <v>710000000</v>
      </c>
      <c r="K131" s="20" t="s">
        <v>41</v>
      </c>
      <c r="L131" s="20" t="s">
        <v>386</v>
      </c>
      <c r="M131" s="20" t="s">
        <v>42</v>
      </c>
      <c r="N131" s="20" t="s">
        <v>43</v>
      </c>
      <c r="O131" s="23" t="s">
        <v>301</v>
      </c>
      <c r="P131" s="20" t="s">
        <v>302</v>
      </c>
      <c r="Q131" s="20">
        <v>796</v>
      </c>
      <c r="R131" s="20" t="s">
        <v>54</v>
      </c>
      <c r="S131" s="93">
        <v>310</v>
      </c>
      <c r="T131" s="29">
        <v>209</v>
      </c>
      <c r="U131" s="29">
        <f t="shared" si="36"/>
        <v>64790</v>
      </c>
      <c r="V131" s="29">
        <f t="shared" si="22"/>
        <v>72564.800000000003</v>
      </c>
      <c r="W131" s="25"/>
      <c r="X131" s="25">
        <v>2018</v>
      </c>
      <c r="Y131" s="62"/>
      <c r="Z131" s="102"/>
      <c r="AA131" s="102"/>
      <c r="AB131" s="10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52.8">
      <c r="A132" s="3"/>
      <c r="B132" s="20" t="s">
        <v>371</v>
      </c>
      <c r="C132" s="20" t="s">
        <v>36</v>
      </c>
      <c r="D132" s="28" t="s">
        <v>90</v>
      </c>
      <c r="E132" s="20" t="s">
        <v>311</v>
      </c>
      <c r="F132" s="28" t="s">
        <v>312</v>
      </c>
      <c r="G132" s="20"/>
      <c r="H132" s="20" t="s">
        <v>40</v>
      </c>
      <c r="I132" s="20">
        <v>0</v>
      </c>
      <c r="J132" s="22">
        <v>710000000</v>
      </c>
      <c r="K132" s="20" t="s">
        <v>41</v>
      </c>
      <c r="L132" s="20" t="s">
        <v>386</v>
      </c>
      <c r="M132" s="20" t="s">
        <v>42</v>
      </c>
      <c r="N132" s="20" t="s">
        <v>43</v>
      </c>
      <c r="O132" s="23" t="s">
        <v>301</v>
      </c>
      <c r="P132" s="20" t="s">
        <v>302</v>
      </c>
      <c r="Q132" s="20">
        <v>796</v>
      </c>
      <c r="R132" s="20" t="s">
        <v>54</v>
      </c>
      <c r="S132" s="93">
        <v>620</v>
      </c>
      <c r="T132" s="29">
        <v>22</v>
      </c>
      <c r="U132" s="29">
        <f t="shared" si="36"/>
        <v>13640</v>
      </c>
      <c r="V132" s="29">
        <f t="shared" si="22"/>
        <v>15276.8</v>
      </c>
      <c r="W132" s="25"/>
      <c r="X132" s="25">
        <v>2018</v>
      </c>
      <c r="Y132" s="62"/>
      <c r="Z132" s="102"/>
      <c r="AA132" s="102"/>
      <c r="AB132" s="10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52.8">
      <c r="A133" s="3"/>
      <c r="B133" s="20" t="s">
        <v>373</v>
      </c>
      <c r="C133" s="20" t="s">
        <v>36</v>
      </c>
      <c r="D133" s="28" t="s">
        <v>94</v>
      </c>
      <c r="E133" s="20" t="s">
        <v>95</v>
      </c>
      <c r="F133" s="20" t="s">
        <v>313</v>
      </c>
      <c r="G133" s="20"/>
      <c r="H133" s="20" t="s">
        <v>40</v>
      </c>
      <c r="I133" s="20">
        <v>0</v>
      </c>
      <c r="J133" s="22">
        <v>710000000</v>
      </c>
      <c r="K133" s="20" t="s">
        <v>41</v>
      </c>
      <c r="L133" s="20" t="s">
        <v>386</v>
      </c>
      <c r="M133" s="20" t="s">
        <v>42</v>
      </c>
      <c r="N133" s="20" t="s">
        <v>43</v>
      </c>
      <c r="O133" s="23" t="s">
        <v>301</v>
      </c>
      <c r="P133" s="20" t="s">
        <v>302</v>
      </c>
      <c r="Q133" s="20">
        <v>796</v>
      </c>
      <c r="R133" s="20" t="s">
        <v>54</v>
      </c>
      <c r="S133" s="93">
        <v>310</v>
      </c>
      <c r="T133" s="29">
        <v>138</v>
      </c>
      <c r="U133" s="29">
        <f t="shared" si="36"/>
        <v>42780</v>
      </c>
      <c r="V133" s="29">
        <f t="shared" si="22"/>
        <v>47913.599999999999</v>
      </c>
      <c r="W133" s="25"/>
      <c r="X133" s="25">
        <v>2018</v>
      </c>
      <c r="Y133" s="62"/>
      <c r="Z133" s="102"/>
      <c r="AA133" s="102"/>
      <c r="AB133" s="10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52.8">
      <c r="A134" s="3"/>
      <c r="B134" s="20" t="s">
        <v>377</v>
      </c>
      <c r="C134" s="20" t="s">
        <v>36</v>
      </c>
      <c r="D134" s="28" t="s">
        <v>98</v>
      </c>
      <c r="E134" s="20" t="s">
        <v>99</v>
      </c>
      <c r="F134" s="20" t="s">
        <v>822</v>
      </c>
      <c r="G134" s="20"/>
      <c r="H134" s="20" t="s">
        <v>40</v>
      </c>
      <c r="I134" s="20">
        <v>0</v>
      </c>
      <c r="J134" s="22">
        <v>710000000</v>
      </c>
      <c r="K134" s="20" t="s">
        <v>41</v>
      </c>
      <c r="L134" s="20" t="s">
        <v>670</v>
      </c>
      <c r="M134" s="20" t="s">
        <v>42</v>
      </c>
      <c r="N134" s="20" t="s">
        <v>43</v>
      </c>
      <c r="O134" s="23" t="s">
        <v>301</v>
      </c>
      <c r="P134" s="20" t="s">
        <v>302</v>
      </c>
      <c r="Q134" s="20">
        <v>796</v>
      </c>
      <c r="R134" s="20" t="s">
        <v>54</v>
      </c>
      <c r="S134" s="93">
        <v>310</v>
      </c>
      <c r="T134" s="29">
        <v>125</v>
      </c>
      <c r="U134" s="29">
        <f t="shared" si="36"/>
        <v>38750</v>
      </c>
      <c r="V134" s="29">
        <f t="shared" si="22"/>
        <v>43400</v>
      </c>
      <c r="W134" s="25"/>
      <c r="X134" s="25">
        <v>2018</v>
      </c>
      <c r="Y134" s="62"/>
      <c r="Z134" s="102"/>
      <c r="AA134" s="102"/>
      <c r="AB134" s="10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52.8">
      <c r="A135" s="3"/>
      <c r="B135" s="20" t="s">
        <v>379</v>
      </c>
      <c r="C135" s="20" t="s">
        <v>36</v>
      </c>
      <c r="D135" s="28" t="s">
        <v>102</v>
      </c>
      <c r="E135" s="20" t="s">
        <v>103</v>
      </c>
      <c r="F135" s="20" t="s">
        <v>314</v>
      </c>
      <c r="G135" s="20"/>
      <c r="H135" s="20" t="s">
        <v>40</v>
      </c>
      <c r="I135" s="20">
        <v>0</v>
      </c>
      <c r="J135" s="22">
        <v>710000000</v>
      </c>
      <c r="K135" s="20" t="s">
        <v>41</v>
      </c>
      <c r="L135" s="20" t="s">
        <v>386</v>
      </c>
      <c r="M135" s="20" t="s">
        <v>42</v>
      </c>
      <c r="N135" s="20" t="s">
        <v>43</v>
      </c>
      <c r="O135" s="23" t="s">
        <v>301</v>
      </c>
      <c r="P135" s="20" t="s">
        <v>302</v>
      </c>
      <c r="Q135" s="20">
        <v>704</v>
      </c>
      <c r="R135" s="20" t="s">
        <v>315</v>
      </c>
      <c r="S135" s="93">
        <v>62</v>
      </c>
      <c r="T135" s="29">
        <v>410</v>
      </c>
      <c r="U135" s="29">
        <f t="shared" si="36"/>
        <v>25420</v>
      </c>
      <c r="V135" s="29">
        <f t="shared" si="22"/>
        <v>28470.400000000001</v>
      </c>
      <c r="W135" s="25"/>
      <c r="X135" s="25">
        <v>2018</v>
      </c>
      <c r="Y135" s="62"/>
      <c r="Z135" s="102"/>
      <c r="AA135" s="102"/>
      <c r="AB135" s="10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52.8">
      <c r="A136" s="3"/>
      <c r="B136" s="20" t="s">
        <v>382</v>
      </c>
      <c r="C136" s="20" t="s">
        <v>36</v>
      </c>
      <c r="D136" s="28" t="s">
        <v>106</v>
      </c>
      <c r="E136" s="20" t="s">
        <v>316</v>
      </c>
      <c r="F136" s="20" t="s">
        <v>317</v>
      </c>
      <c r="G136" s="20"/>
      <c r="H136" s="20" t="s">
        <v>40</v>
      </c>
      <c r="I136" s="20">
        <v>0</v>
      </c>
      <c r="J136" s="22">
        <v>710000000</v>
      </c>
      <c r="K136" s="20" t="s">
        <v>41</v>
      </c>
      <c r="L136" s="20" t="s">
        <v>386</v>
      </c>
      <c r="M136" s="20" t="s">
        <v>42</v>
      </c>
      <c r="N136" s="20" t="s">
        <v>43</v>
      </c>
      <c r="O136" s="23" t="s">
        <v>301</v>
      </c>
      <c r="P136" s="20" t="s">
        <v>302</v>
      </c>
      <c r="Q136" s="20">
        <v>796</v>
      </c>
      <c r="R136" s="20" t="s">
        <v>54</v>
      </c>
      <c r="S136" s="93">
        <v>620</v>
      </c>
      <c r="T136" s="29">
        <v>107</v>
      </c>
      <c r="U136" s="29">
        <f t="shared" si="36"/>
        <v>66340</v>
      </c>
      <c r="V136" s="29">
        <f t="shared" si="22"/>
        <v>74300.800000000003</v>
      </c>
      <c r="W136" s="25"/>
      <c r="X136" s="25">
        <v>2018</v>
      </c>
      <c r="Y136" s="62"/>
      <c r="Z136" s="102"/>
      <c r="AA136" s="102"/>
      <c r="AB136" s="10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52.8">
      <c r="A137" s="3"/>
      <c r="B137" s="20" t="s">
        <v>387</v>
      </c>
      <c r="C137" s="20" t="s">
        <v>36</v>
      </c>
      <c r="D137" s="28" t="s">
        <v>106</v>
      </c>
      <c r="E137" s="20" t="s">
        <v>316</v>
      </c>
      <c r="F137" s="20" t="s">
        <v>318</v>
      </c>
      <c r="G137" s="20"/>
      <c r="H137" s="20" t="s">
        <v>40</v>
      </c>
      <c r="I137" s="20">
        <v>0</v>
      </c>
      <c r="J137" s="22">
        <v>710000000</v>
      </c>
      <c r="K137" s="20" t="s">
        <v>41</v>
      </c>
      <c r="L137" s="20" t="s">
        <v>386</v>
      </c>
      <c r="M137" s="20" t="s">
        <v>42</v>
      </c>
      <c r="N137" s="20" t="s">
        <v>43</v>
      </c>
      <c r="O137" s="23" t="s">
        <v>301</v>
      </c>
      <c r="P137" s="20" t="s">
        <v>302</v>
      </c>
      <c r="Q137" s="20">
        <v>796</v>
      </c>
      <c r="R137" s="20" t="s">
        <v>54</v>
      </c>
      <c r="S137" s="93">
        <v>62</v>
      </c>
      <c r="T137" s="29">
        <v>142</v>
      </c>
      <c r="U137" s="29">
        <f t="shared" si="36"/>
        <v>8804</v>
      </c>
      <c r="V137" s="29">
        <f>U137+(U137*12%)</f>
        <v>9860.48</v>
      </c>
      <c r="W137" s="25"/>
      <c r="X137" s="25">
        <v>2018</v>
      </c>
      <c r="Y137" s="62"/>
      <c r="Z137" s="102"/>
      <c r="AA137" s="102"/>
      <c r="AB137" s="10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52.8">
      <c r="A138" s="3"/>
      <c r="B138" s="20" t="s">
        <v>389</v>
      </c>
      <c r="C138" s="20" t="s">
        <v>36</v>
      </c>
      <c r="D138" s="28" t="s">
        <v>110</v>
      </c>
      <c r="E138" s="20" t="s">
        <v>111</v>
      </c>
      <c r="F138" s="20" t="s">
        <v>319</v>
      </c>
      <c r="G138" s="20"/>
      <c r="H138" s="20" t="s">
        <v>40</v>
      </c>
      <c r="I138" s="20">
        <v>0</v>
      </c>
      <c r="J138" s="22">
        <v>710000000</v>
      </c>
      <c r="K138" s="20" t="s">
        <v>41</v>
      </c>
      <c r="L138" s="20" t="s">
        <v>386</v>
      </c>
      <c r="M138" s="20" t="s">
        <v>42</v>
      </c>
      <c r="N138" s="20" t="s">
        <v>43</v>
      </c>
      <c r="O138" s="23" t="s">
        <v>301</v>
      </c>
      <c r="P138" s="20" t="s">
        <v>302</v>
      </c>
      <c r="Q138" s="20">
        <v>796</v>
      </c>
      <c r="R138" s="20" t="s">
        <v>54</v>
      </c>
      <c r="S138" s="93">
        <v>84</v>
      </c>
      <c r="T138" s="29">
        <v>325</v>
      </c>
      <c r="U138" s="29">
        <f t="shared" si="36"/>
        <v>27300</v>
      </c>
      <c r="V138" s="29">
        <f t="shared" si="22"/>
        <v>30576</v>
      </c>
      <c r="W138" s="25"/>
      <c r="X138" s="25">
        <v>2018</v>
      </c>
      <c r="Y138" s="62"/>
      <c r="Z138" s="102"/>
      <c r="AA138" s="102"/>
      <c r="AB138" s="10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52.8">
      <c r="A139" s="3"/>
      <c r="B139" s="20" t="s">
        <v>391</v>
      </c>
      <c r="C139" s="20" t="s">
        <v>36</v>
      </c>
      <c r="D139" s="28" t="s">
        <v>320</v>
      </c>
      <c r="E139" s="20" t="s">
        <v>115</v>
      </c>
      <c r="F139" s="20" t="s">
        <v>116</v>
      </c>
      <c r="G139" s="20"/>
      <c r="H139" s="20" t="s">
        <v>40</v>
      </c>
      <c r="I139" s="20">
        <v>0</v>
      </c>
      <c r="J139" s="22">
        <v>710000000</v>
      </c>
      <c r="K139" s="20" t="s">
        <v>41</v>
      </c>
      <c r="L139" s="20" t="s">
        <v>386</v>
      </c>
      <c r="M139" s="20" t="s">
        <v>42</v>
      </c>
      <c r="N139" s="20" t="s">
        <v>43</v>
      </c>
      <c r="O139" s="23" t="s">
        <v>301</v>
      </c>
      <c r="P139" s="20" t="s">
        <v>302</v>
      </c>
      <c r="Q139" s="20">
        <v>796</v>
      </c>
      <c r="R139" s="20" t="s">
        <v>54</v>
      </c>
      <c r="S139" s="93">
        <v>300</v>
      </c>
      <c r="T139" s="29">
        <v>44</v>
      </c>
      <c r="U139" s="29">
        <f t="shared" si="36"/>
        <v>13200</v>
      </c>
      <c r="V139" s="29">
        <f t="shared" si="22"/>
        <v>14784</v>
      </c>
      <c r="W139" s="25"/>
      <c r="X139" s="25">
        <v>2018</v>
      </c>
      <c r="Y139" s="62"/>
      <c r="Z139" s="102"/>
      <c r="AA139" s="102"/>
      <c r="AB139" s="10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52.8">
      <c r="A140" s="3"/>
      <c r="B140" s="20" t="s">
        <v>393</v>
      </c>
      <c r="C140" s="20" t="s">
        <v>36</v>
      </c>
      <c r="D140" s="28" t="s">
        <v>118</v>
      </c>
      <c r="E140" s="20" t="s">
        <v>119</v>
      </c>
      <c r="F140" s="20" t="s">
        <v>321</v>
      </c>
      <c r="G140" s="20"/>
      <c r="H140" s="20" t="s">
        <v>40</v>
      </c>
      <c r="I140" s="20">
        <v>0</v>
      </c>
      <c r="J140" s="22">
        <v>710000000</v>
      </c>
      <c r="K140" s="20" t="s">
        <v>41</v>
      </c>
      <c r="L140" s="20" t="s">
        <v>386</v>
      </c>
      <c r="M140" s="20" t="s">
        <v>42</v>
      </c>
      <c r="N140" s="20" t="s">
        <v>43</v>
      </c>
      <c r="O140" s="23" t="s">
        <v>301</v>
      </c>
      <c r="P140" s="20" t="s">
        <v>302</v>
      </c>
      <c r="Q140" s="20">
        <v>796</v>
      </c>
      <c r="R140" s="20" t="s">
        <v>54</v>
      </c>
      <c r="S140" s="93">
        <v>31</v>
      </c>
      <c r="T140" s="29">
        <v>834</v>
      </c>
      <c r="U140" s="29">
        <f t="shared" si="36"/>
        <v>25854</v>
      </c>
      <c r="V140" s="29">
        <f t="shared" si="22"/>
        <v>28956.48</v>
      </c>
      <c r="W140" s="25"/>
      <c r="X140" s="25">
        <v>2018</v>
      </c>
      <c r="Y140" s="62"/>
      <c r="Z140" s="102"/>
      <c r="AA140" s="102"/>
      <c r="AB140" s="10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52.8">
      <c r="A141" s="3"/>
      <c r="B141" s="20" t="s">
        <v>396</v>
      </c>
      <c r="C141" s="20" t="s">
        <v>36</v>
      </c>
      <c r="D141" s="28" t="s">
        <v>118</v>
      </c>
      <c r="E141" s="20" t="s">
        <v>119</v>
      </c>
      <c r="F141" s="20" t="s">
        <v>322</v>
      </c>
      <c r="G141" s="20"/>
      <c r="H141" s="20" t="s">
        <v>40</v>
      </c>
      <c r="I141" s="20">
        <v>0</v>
      </c>
      <c r="J141" s="22">
        <v>710000000</v>
      </c>
      <c r="K141" s="20" t="s">
        <v>41</v>
      </c>
      <c r="L141" s="20" t="s">
        <v>386</v>
      </c>
      <c r="M141" s="20" t="s">
        <v>42</v>
      </c>
      <c r="N141" s="20" t="s">
        <v>43</v>
      </c>
      <c r="O141" s="23" t="s">
        <v>301</v>
      </c>
      <c r="P141" s="20" t="s">
        <v>302</v>
      </c>
      <c r="Q141" s="20">
        <v>796</v>
      </c>
      <c r="R141" s="20" t="s">
        <v>54</v>
      </c>
      <c r="S141" s="93">
        <v>31</v>
      </c>
      <c r="T141" s="29">
        <v>1767</v>
      </c>
      <c r="U141" s="29">
        <f t="shared" si="36"/>
        <v>54777</v>
      </c>
      <c r="V141" s="29">
        <f t="shared" si="22"/>
        <v>61350.239999999998</v>
      </c>
      <c r="W141" s="25"/>
      <c r="X141" s="25">
        <v>2018</v>
      </c>
      <c r="Y141" s="62"/>
      <c r="Z141" s="102"/>
      <c r="AA141" s="102"/>
      <c r="AB141" s="10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52.8">
      <c r="A142" s="3"/>
      <c r="B142" s="20" t="s">
        <v>398</v>
      </c>
      <c r="C142" s="20" t="s">
        <v>36</v>
      </c>
      <c r="D142" s="28" t="s">
        <v>124</v>
      </c>
      <c r="E142" s="20" t="s">
        <v>125</v>
      </c>
      <c r="F142" s="20" t="s">
        <v>323</v>
      </c>
      <c r="G142" s="20"/>
      <c r="H142" s="20" t="s">
        <v>40</v>
      </c>
      <c r="I142" s="20">
        <v>0</v>
      </c>
      <c r="J142" s="22">
        <v>710000000</v>
      </c>
      <c r="K142" s="20" t="s">
        <v>41</v>
      </c>
      <c r="L142" s="20" t="s">
        <v>386</v>
      </c>
      <c r="M142" s="20" t="s">
        <v>42</v>
      </c>
      <c r="N142" s="20" t="s">
        <v>43</v>
      </c>
      <c r="O142" s="23" t="s">
        <v>301</v>
      </c>
      <c r="P142" s="20" t="s">
        <v>302</v>
      </c>
      <c r="Q142" s="20">
        <v>778</v>
      </c>
      <c r="R142" s="20" t="s">
        <v>77</v>
      </c>
      <c r="S142" s="93">
        <v>310</v>
      </c>
      <c r="T142" s="29">
        <v>714</v>
      </c>
      <c r="U142" s="29">
        <f t="shared" si="36"/>
        <v>221340</v>
      </c>
      <c r="V142" s="29">
        <f t="shared" si="22"/>
        <v>247900.79999999999</v>
      </c>
      <c r="W142" s="25"/>
      <c r="X142" s="25">
        <v>2018</v>
      </c>
      <c r="Y142" s="62"/>
      <c r="Z142" s="102"/>
      <c r="AA142" s="102"/>
      <c r="AB142" s="10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52.8">
      <c r="A143" s="3"/>
      <c r="B143" s="20" t="s">
        <v>401</v>
      </c>
      <c r="C143" s="20" t="s">
        <v>36</v>
      </c>
      <c r="D143" s="28" t="s">
        <v>128</v>
      </c>
      <c r="E143" s="20" t="s">
        <v>38</v>
      </c>
      <c r="F143" s="20" t="s">
        <v>129</v>
      </c>
      <c r="G143" s="20"/>
      <c r="H143" s="20" t="s">
        <v>40</v>
      </c>
      <c r="I143" s="20">
        <v>0</v>
      </c>
      <c r="J143" s="22">
        <v>710000000</v>
      </c>
      <c r="K143" s="20" t="s">
        <v>41</v>
      </c>
      <c r="L143" s="20" t="s">
        <v>670</v>
      </c>
      <c r="M143" s="20" t="s">
        <v>42</v>
      </c>
      <c r="N143" s="20" t="s">
        <v>43</v>
      </c>
      <c r="O143" s="23" t="s">
        <v>301</v>
      </c>
      <c r="P143" s="20" t="s">
        <v>302</v>
      </c>
      <c r="Q143" s="20">
        <v>796</v>
      </c>
      <c r="R143" s="20" t="s">
        <v>54</v>
      </c>
      <c r="S143" s="93">
        <v>31</v>
      </c>
      <c r="T143" s="29">
        <v>1544</v>
      </c>
      <c r="U143" s="29">
        <f t="shared" si="36"/>
        <v>47864</v>
      </c>
      <c r="V143" s="29">
        <f t="shared" si="22"/>
        <v>53607.68</v>
      </c>
      <c r="W143" s="25"/>
      <c r="X143" s="25">
        <v>2018</v>
      </c>
      <c r="Y143" s="62"/>
      <c r="Z143" s="102"/>
      <c r="AA143" s="102"/>
      <c r="AB143" s="10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52.8">
      <c r="A144" s="3"/>
      <c r="B144" s="20" t="s">
        <v>404</v>
      </c>
      <c r="C144" s="20" t="s">
        <v>36</v>
      </c>
      <c r="D144" s="28" t="s">
        <v>131</v>
      </c>
      <c r="E144" s="20" t="s">
        <v>326</v>
      </c>
      <c r="F144" s="20" t="s">
        <v>327</v>
      </c>
      <c r="G144" s="20"/>
      <c r="H144" s="20" t="s">
        <v>40</v>
      </c>
      <c r="I144" s="20">
        <v>0</v>
      </c>
      <c r="J144" s="22">
        <v>710000000</v>
      </c>
      <c r="K144" s="20" t="s">
        <v>41</v>
      </c>
      <c r="L144" s="20" t="s">
        <v>386</v>
      </c>
      <c r="M144" s="20" t="s">
        <v>42</v>
      </c>
      <c r="N144" s="20" t="s">
        <v>43</v>
      </c>
      <c r="O144" s="23" t="s">
        <v>301</v>
      </c>
      <c r="P144" s="20" t="s">
        <v>302</v>
      </c>
      <c r="Q144" s="20">
        <v>796</v>
      </c>
      <c r="R144" s="20" t="s">
        <v>54</v>
      </c>
      <c r="S144" s="93">
        <v>310</v>
      </c>
      <c r="T144" s="29">
        <v>245</v>
      </c>
      <c r="U144" s="29">
        <f t="shared" si="36"/>
        <v>75950</v>
      </c>
      <c r="V144" s="29">
        <f t="shared" si="22"/>
        <v>85064</v>
      </c>
      <c r="W144" s="25"/>
      <c r="X144" s="25">
        <v>2018</v>
      </c>
      <c r="Y144" s="62"/>
      <c r="Z144" s="102"/>
      <c r="AA144" s="102"/>
      <c r="AB144" s="10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52.8">
      <c r="A145" s="3"/>
      <c r="B145" s="20" t="s">
        <v>407</v>
      </c>
      <c r="C145" s="20" t="s">
        <v>36</v>
      </c>
      <c r="D145" s="28" t="s">
        <v>135</v>
      </c>
      <c r="E145" s="20" t="s">
        <v>329</v>
      </c>
      <c r="F145" s="20" t="s">
        <v>836</v>
      </c>
      <c r="G145" s="20"/>
      <c r="H145" s="20" t="s">
        <v>40</v>
      </c>
      <c r="I145" s="20">
        <v>0</v>
      </c>
      <c r="J145" s="22">
        <v>710000000</v>
      </c>
      <c r="K145" s="20" t="s">
        <v>41</v>
      </c>
      <c r="L145" s="20" t="s">
        <v>386</v>
      </c>
      <c r="M145" s="20" t="s">
        <v>42</v>
      </c>
      <c r="N145" s="20" t="s">
        <v>43</v>
      </c>
      <c r="O145" s="23" t="s">
        <v>301</v>
      </c>
      <c r="P145" s="20" t="s">
        <v>302</v>
      </c>
      <c r="Q145" s="20">
        <v>796</v>
      </c>
      <c r="R145" s="20" t="s">
        <v>54</v>
      </c>
      <c r="S145" s="93">
        <v>62</v>
      </c>
      <c r="T145" s="29">
        <v>294</v>
      </c>
      <c r="U145" s="29">
        <f t="shared" si="36"/>
        <v>18228</v>
      </c>
      <c r="V145" s="29">
        <f t="shared" si="22"/>
        <v>20415.36</v>
      </c>
      <c r="W145" s="25"/>
      <c r="X145" s="25">
        <v>2018</v>
      </c>
      <c r="Y145" s="62"/>
      <c r="Z145" s="102"/>
      <c r="AA145" s="102"/>
      <c r="AB145" s="10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52.8">
      <c r="A146" s="3"/>
      <c r="B146" s="20" t="s">
        <v>409</v>
      </c>
      <c r="C146" s="20" t="s">
        <v>36</v>
      </c>
      <c r="D146" s="28" t="s">
        <v>139</v>
      </c>
      <c r="E146" s="20" t="s">
        <v>332</v>
      </c>
      <c r="F146" s="20" t="s">
        <v>333</v>
      </c>
      <c r="G146" s="20"/>
      <c r="H146" s="20" t="s">
        <v>40</v>
      </c>
      <c r="I146" s="20">
        <v>0</v>
      </c>
      <c r="J146" s="22">
        <v>710000000</v>
      </c>
      <c r="K146" s="20" t="s">
        <v>41</v>
      </c>
      <c r="L146" s="20" t="s">
        <v>386</v>
      </c>
      <c r="M146" s="20" t="s">
        <v>42</v>
      </c>
      <c r="N146" s="20" t="s">
        <v>43</v>
      </c>
      <c r="O146" s="23" t="s">
        <v>301</v>
      </c>
      <c r="P146" s="20" t="s">
        <v>302</v>
      </c>
      <c r="Q146" s="20">
        <v>796</v>
      </c>
      <c r="R146" s="20" t="s">
        <v>54</v>
      </c>
      <c r="S146" s="93">
        <v>62</v>
      </c>
      <c r="T146" s="29">
        <v>107</v>
      </c>
      <c r="U146" s="29">
        <f t="shared" si="36"/>
        <v>6634</v>
      </c>
      <c r="V146" s="29">
        <f t="shared" si="22"/>
        <v>7430.08</v>
      </c>
      <c r="W146" s="25"/>
      <c r="X146" s="25">
        <v>2018</v>
      </c>
      <c r="Y146" s="62"/>
      <c r="Z146" s="102"/>
      <c r="AA146" s="102"/>
      <c r="AB146" s="10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52.8">
      <c r="A147" s="3"/>
      <c r="B147" s="20" t="s">
        <v>410</v>
      </c>
      <c r="C147" s="20" t="s">
        <v>36</v>
      </c>
      <c r="D147" s="28" t="s">
        <v>143</v>
      </c>
      <c r="E147" s="20" t="s">
        <v>144</v>
      </c>
      <c r="F147" s="20" t="s">
        <v>335</v>
      </c>
      <c r="G147" s="20"/>
      <c r="H147" s="20" t="s">
        <v>40</v>
      </c>
      <c r="I147" s="20">
        <v>0</v>
      </c>
      <c r="J147" s="22">
        <v>710000000</v>
      </c>
      <c r="K147" s="20" t="s">
        <v>41</v>
      </c>
      <c r="L147" s="20" t="s">
        <v>386</v>
      </c>
      <c r="M147" s="20" t="s">
        <v>42</v>
      </c>
      <c r="N147" s="20" t="s">
        <v>43</v>
      </c>
      <c r="O147" s="23" t="s">
        <v>301</v>
      </c>
      <c r="P147" s="20" t="s">
        <v>302</v>
      </c>
      <c r="Q147" s="20">
        <v>796</v>
      </c>
      <c r="R147" s="20" t="s">
        <v>54</v>
      </c>
      <c r="S147" s="93">
        <v>62</v>
      </c>
      <c r="T147" s="29">
        <v>544</v>
      </c>
      <c r="U147" s="29">
        <f t="shared" si="36"/>
        <v>33728</v>
      </c>
      <c r="V147" s="29">
        <f t="shared" si="22"/>
        <v>37775.360000000001</v>
      </c>
      <c r="W147" s="25"/>
      <c r="X147" s="25">
        <v>2018</v>
      </c>
      <c r="Y147" s="62"/>
      <c r="Z147" s="102"/>
      <c r="AA147" s="102"/>
      <c r="AB147" s="10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52.8">
      <c r="A148" s="3"/>
      <c r="B148" s="20" t="s">
        <v>412</v>
      </c>
      <c r="C148" s="20" t="s">
        <v>36</v>
      </c>
      <c r="D148" s="28" t="s">
        <v>147</v>
      </c>
      <c r="E148" s="20" t="s">
        <v>148</v>
      </c>
      <c r="F148" s="20" t="s">
        <v>337</v>
      </c>
      <c r="G148" s="20"/>
      <c r="H148" s="20" t="s">
        <v>40</v>
      </c>
      <c r="I148" s="20">
        <v>0</v>
      </c>
      <c r="J148" s="22">
        <v>710000000</v>
      </c>
      <c r="K148" s="20" t="s">
        <v>41</v>
      </c>
      <c r="L148" s="20" t="s">
        <v>386</v>
      </c>
      <c r="M148" s="20" t="s">
        <v>42</v>
      </c>
      <c r="N148" s="20" t="s">
        <v>43</v>
      </c>
      <c r="O148" s="23" t="s">
        <v>301</v>
      </c>
      <c r="P148" s="20" t="s">
        <v>302</v>
      </c>
      <c r="Q148" s="20">
        <v>778</v>
      </c>
      <c r="R148" s="20" t="s">
        <v>77</v>
      </c>
      <c r="S148" s="93">
        <v>31</v>
      </c>
      <c r="T148" s="29">
        <v>165</v>
      </c>
      <c r="U148" s="29">
        <f t="shared" si="36"/>
        <v>5115</v>
      </c>
      <c r="V148" s="29">
        <f t="shared" si="22"/>
        <v>5728.8</v>
      </c>
      <c r="W148" s="25"/>
      <c r="X148" s="25">
        <v>2018</v>
      </c>
      <c r="Y148" s="62"/>
      <c r="Z148" s="102"/>
      <c r="AA148" s="102"/>
      <c r="AB148" s="10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52.8">
      <c r="A149" s="3"/>
      <c r="B149" s="20" t="s">
        <v>415</v>
      </c>
      <c r="C149" s="20" t="s">
        <v>36</v>
      </c>
      <c r="D149" s="28" t="s">
        <v>151</v>
      </c>
      <c r="E149" s="20" t="s">
        <v>152</v>
      </c>
      <c r="F149" s="20" t="s">
        <v>837</v>
      </c>
      <c r="G149" s="20"/>
      <c r="H149" s="20" t="s">
        <v>40</v>
      </c>
      <c r="I149" s="20">
        <v>0</v>
      </c>
      <c r="J149" s="22">
        <v>710000000</v>
      </c>
      <c r="K149" s="20" t="s">
        <v>41</v>
      </c>
      <c r="L149" s="20" t="s">
        <v>386</v>
      </c>
      <c r="M149" s="20" t="s">
        <v>42</v>
      </c>
      <c r="N149" s="20" t="s">
        <v>43</v>
      </c>
      <c r="O149" s="23" t="s">
        <v>301</v>
      </c>
      <c r="P149" s="20" t="s">
        <v>302</v>
      </c>
      <c r="Q149" s="20">
        <v>796</v>
      </c>
      <c r="R149" s="20" t="s">
        <v>54</v>
      </c>
      <c r="S149" s="93">
        <v>620</v>
      </c>
      <c r="T149" s="29">
        <v>129</v>
      </c>
      <c r="U149" s="29">
        <f t="shared" si="36"/>
        <v>79980</v>
      </c>
      <c r="V149" s="29">
        <f t="shared" si="22"/>
        <v>89577.600000000006</v>
      </c>
      <c r="W149" s="25"/>
      <c r="X149" s="25">
        <v>2018</v>
      </c>
      <c r="Y149" s="62"/>
      <c r="Z149" s="102"/>
      <c r="AA149" s="102"/>
      <c r="AB149" s="10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52.8">
      <c r="A150" s="3"/>
      <c r="B150" s="20" t="s">
        <v>416</v>
      </c>
      <c r="C150" s="20" t="s">
        <v>36</v>
      </c>
      <c r="D150" s="28" t="s">
        <v>155</v>
      </c>
      <c r="E150" s="20" t="s">
        <v>156</v>
      </c>
      <c r="F150" s="20" t="s">
        <v>341</v>
      </c>
      <c r="G150" s="20"/>
      <c r="H150" s="20" t="s">
        <v>40</v>
      </c>
      <c r="I150" s="20">
        <v>0</v>
      </c>
      <c r="J150" s="22">
        <v>710000000</v>
      </c>
      <c r="K150" s="20" t="s">
        <v>41</v>
      </c>
      <c r="L150" s="20" t="s">
        <v>386</v>
      </c>
      <c r="M150" s="20" t="s">
        <v>42</v>
      </c>
      <c r="N150" s="20" t="s">
        <v>43</v>
      </c>
      <c r="O150" s="23" t="s">
        <v>301</v>
      </c>
      <c r="P150" s="20" t="s">
        <v>302</v>
      </c>
      <c r="Q150" s="20">
        <v>796</v>
      </c>
      <c r="R150" s="20" t="s">
        <v>54</v>
      </c>
      <c r="S150" s="93">
        <v>100</v>
      </c>
      <c r="T150" s="29">
        <v>17</v>
      </c>
      <c r="U150" s="29">
        <f t="shared" si="36"/>
        <v>1700</v>
      </c>
      <c r="V150" s="29">
        <f t="shared" si="22"/>
        <v>1904</v>
      </c>
      <c r="W150" s="25"/>
      <c r="X150" s="25">
        <v>2018</v>
      </c>
      <c r="Y150" s="62"/>
      <c r="Z150" s="102"/>
      <c r="AA150" s="102"/>
      <c r="AB150" s="10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52.8">
      <c r="A151" s="3"/>
      <c r="B151" s="20" t="s">
        <v>419</v>
      </c>
      <c r="C151" s="20" t="s">
        <v>36</v>
      </c>
      <c r="D151" s="28" t="s">
        <v>155</v>
      </c>
      <c r="E151" s="20" t="s">
        <v>156</v>
      </c>
      <c r="F151" s="20" t="s">
        <v>343</v>
      </c>
      <c r="G151" s="20"/>
      <c r="H151" s="20" t="s">
        <v>40</v>
      </c>
      <c r="I151" s="20">
        <v>0</v>
      </c>
      <c r="J151" s="22">
        <v>710000000</v>
      </c>
      <c r="K151" s="20" t="s">
        <v>41</v>
      </c>
      <c r="L151" s="20" t="s">
        <v>386</v>
      </c>
      <c r="M151" s="20" t="s">
        <v>42</v>
      </c>
      <c r="N151" s="20" t="s">
        <v>43</v>
      </c>
      <c r="O151" s="23" t="s">
        <v>301</v>
      </c>
      <c r="P151" s="20" t="s">
        <v>302</v>
      </c>
      <c r="Q151" s="20">
        <v>796</v>
      </c>
      <c r="R151" s="20" t="s">
        <v>54</v>
      </c>
      <c r="S151" s="93">
        <v>100</v>
      </c>
      <c r="T151" s="29">
        <v>35</v>
      </c>
      <c r="U151" s="29">
        <f t="shared" si="36"/>
        <v>3500</v>
      </c>
      <c r="V151" s="29">
        <f t="shared" si="22"/>
        <v>3920</v>
      </c>
      <c r="W151" s="25"/>
      <c r="X151" s="25">
        <v>2018</v>
      </c>
      <c r="Y151" s="62"/>
      <c r="Z151" s="102"/>
      <c r="AA151" s="102"/>
      <c r="AB151" s="10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52.8">
      <c r="A152" s="3"/>
      <c r="B152" s="20" t="s">
        <v>423</v>
      </c>
      <c r="C152" s="20" t="s">
        <v>36</v>
      </c>
      <c r="D152" s="28" t="s">
        <v>161</v>
      </c>
      <c r="E152" s="20" t="s">
        <v>162</v>
      </c>
      <c r="F152" s="20" t="s">
        <v>345</v>
      </c>
      <c r="G152" s="20"/>
      <c r="H152" s="20" t="s">
        <v>40</v>
      </c>
      <c r="I152" s="20">
        <v>0</v>
      </c>
      <c r="J152" s="22">
        <v>710000000</v>
      </c>
      <c r="K152" s="20" t="s">
        <v>41</v>
      </c>
      <c r="L152" s="20" t="s">
        <v>386</v>
      </c>
      <c r="M152" s="20" t="s">
        <v>42</v>
      </c>
      <c r="N152" s="20" t="s">
        <v>43</v>
      </c>
      <c r="O152" s="23" t="s">
        <v>301</v>
      </c>
      <c r="P152" s="20" t="s">
        <v>302</v>
      </c>
      <c r="Q152" s="20">
        <v>796</v>
      </c>
      <c r="R152" s="20" t="s">
        <v>54</v>
      </c>
      <c r="S152" s="93">
        <v>31</v>
      </c>
      <c r="T152" s="29">
        <v>250</v>
      </c>
      <c r="U152" s="29">
        <f t="shared" si="36"/>
        <v>7750</v>
      </c>
      <c r="V152" s="29">
        <f t="shared" si="22"/>
        <v>8680</v>
      </c>
      <c r="W152" s="25"/>
      <c r="X152" s="25">
        <v>2018</v>
      </c>
      <c r="Y152" s="62"/>
      <c r="Z152" s="102"/>
      <c r="AA152" s="102"/>
      <c r="AB152" s="10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52.8">
      <c r="A153" s="3"/>
      <c r="B153" s="20" t="s">
        <v>426</v>
      </c>
      <c r="C153" s="20" t="s">
        <v>36</v>
      </c>
      <c r="D153" s="28" t="s">
        <v>165</v>
      </c>
      <c r="E153" s="20" t="s">
        <v>166</v>
      </c>
      <c r="F153" s="20" t="s">
        <v>347</v>
      </c>
      <c r="G153" s="20"/>
      <c r="H153" s="20" t="s">
        <v>40</v>
      </c>
      <c r="I153" s="20">
        <v>0</v>
      </c>
      <c r="J153" s="22">
        <v>710000000</v>
      </c>
      <c r="K153" s="20" t="s">
        <v>41</v>
      </c>
      <c r="L153" s="20" t="s">
        <v>386</v>
      </c>
      <c r="M153" s="20" t="s">
        <v>42</v>
      </c>
      <c r="N153" s="20" t="s">
        <v>43</v>
      </c>
      <c r="O153" s="23" t="s">
        <v>301</v>
      </c>
      <c r="P153" s="20" t="s">
        <v>302</v>
      </c>
      <c r="Q153" s="20">
        <v>796</v>
      </c>
      <c r="R153" s="20" t="s">
        <v>54</v>
      </c>
      <c r="S153" s="93">
        <v>31</v>
      </c>
      <c r="T153" s="29">
        <v>486</v>
      </c>
      <c r="U153" s="29">
        <f t="shared" si="36"/>
        <v>15066</v>
      </c>
      <c r="V153" s="29">
        <f t="shared" si="22"/>
        <v>16873.919999999998</v>
      </c>
      <c r="W153" s="25"/>
      <c r="X153" s="25">
        <v>2018</v>
      </c>
      <c r="Y153" s="62"/>
      <c r="Z153" s="102"/>
      <c r="AA153" s="102"/>
      <c r="AB153" s="10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52.8">
      <c r="A154" s="3"/>
      <c r="B154" s="20" t="s">
        <v>428</v>
      </c>
      <c r="C154" s="20" t="s">
        <v>36</v>
      </c>
      <c r="D154" s="28" t="s">
        <v>165</v>
      </c>
      <c r="E154" s="20" t="s">
        <v>166</v>
      </c>
      <c r="F154" s="20" t="s">
        <v>349</v>
      </c>
      <c r="G154" s="20"/>
      <c r="H154" s="20" t="s">
        <v>40</v>
      </c>
      <c r="I154" s="20">
        <v>0</v>
      </c>
      <c r="J154" s="22">
        <v>710000000</v>
      </c>
      <c r="K154" s="20" t="s">
        <v>41</v>
      </c>
      <c r="L154" s="20" t="s">
        <v>386</v>
      </c>
      <c r="M154" s="20" t="s">
        <v>42</v>
      </c>
      <c r="N154" s="20" t="s">
        <v>43</v>
      </c>
      <c r="O154" s="23" t="s">
        <v>301</v>
      </c>
      <c r="P154" s="20" t="s">
        <v>302</v>
      </c>
      <c r="Q154" s="20">
        <v>796</v>
      </c>
      <c r="R154" s="20" t="s">
        <v>54</v>
      </c>
      <c r="S154" s="93">
        <v>31</v>
      </c>
      <c r="T154" s="29">
        <v>1357</v>
      </c>
      <c r="U154" s="29">
        <f t="shared" si="36"/>
        <v>42067</v>
      </c>
      <c r="V154" s="29">
        <f t="shared" si="22"/>
        <v>47115.040000000001</v>
      </c>
      <c r="W154" s="25"/>
      <c r="X154" s="25">
        <v>2018</v>
      </c>
      <c r="Y154" s="62"/>
      <c r="Z154" s="102"/>
      <c r="AA154" s="102"/>
      <c r="AB154" s="10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52.8">
      <c r="A155" s="3"/>
      <c r="B155" s="20" t="s">
        <v>431</v>
      </c>
      <c r="C155" s="20" t="s">
        <v>36</v>
      </c>
      <c r="D155" s="28" t="s">
        <v>173</v>
      </c>
      <c r="E155" s="20" t="s">
        <v>351</v>
      </c>
      <c r="F155" s="20" t="s">
        <v>352</v>
      </c>
      <c r="G155" s="20"/>
      <c r="H155" s="20" t="s">
        <v>40</v>
      </c>
      <c r="I155" s="20">
        <v>0</v>
      </c>
      <c r="J155" s="22">
        <v>710000000</v>
      </c>
      <c r="K155" s="20" t="s">
        <v>41</v>
      </c>
      <c r="L155" s="20" t="s">
        <v>386</v>
      </c>
      <c r="M155" s="20" t="s">
        <v>42</v>
      </c>
      <c r="N155" s="20" t="s">
        <v>43</v>
      </c>
      <c r="O155" s="23" t="s">
        <v>301</v>
      </c>
      <c r="P155" s="20" t="s">
        <v>302</v>
      </c>
      <c r="Q155" s="20">
        <v>778</v>
      </c>
      <c r="R155" s="20" t="s">
        <v>77</v>
      </c>
      <c r="S155" s="93">
        <v>840</v>
      </c>
      <c r="T155" s="29">
        <v>44</v>
      </c>
      <c r="U155" s="29">
        <f t="shared" si="36"/>
        <v>36960</v>
      </c>
      <c r="V155" s="29">
        <f t="shared" si="22"/>
        <v>41395.199999999997</v>
      </c>
      <c r="W155" s="25"/>
      <c r="X155" s="25">
        <v>2018</v>
      </c>
      <c r="Y155" s="62"/>
      <c r="Z155" s="102"/>
      <c r="AA155" s="102"/>
      <c r="AB155" s="10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52.8">
      <c r="A156" s="3"/>
      <c r="B156" s="20" t="s">
        <v>433</v>
      </c>
      <c r="C156" s="20" t="s">
        <v>36</v>
      </c>
      <c r="D156" s="28" t="s">
        <v>173</v>
      </c>
      <c r="E156" s="20" t="s">
        <v>351</v>
      </c>
      <c r="F156" s="20" t="s">
        <v>354</v>
      </c>
      <c r="G156" s="20"/>
      <c r="H156" s="20" t="s">
        <v>40</v>
      </c>
      <c r="I156" s="20">
        <v>0</v>
      </c>
      <c r="J156" s="22">
        <v>710000000</v>
      </c>
      <c r="K156" s="20" t="s">
        <v>41</v>
      </c>
      <c r="L156" s="20" t="s">
        <v>386</v>
      </c>
      <c r="M156" s="20" t="s">
        <v>42</v>
      </c>
      <c r="N156" s="20" t="s">
        <v>43</v>
      </c>
      <c r="O156" s="23" t="s">
        <v>301</v>
      </c>
      <c r="P156" s="20" t="s">
        <v>302</v>
      </c>
      <c r="Q156" s="20">
        <v>778</v>
      </c>
      <c r="R156" s="20" t="s">
        <v>77</v>
      </c>
      <c r="S156" s="93">
        <v>840</v>
      </c>
      <c r="T156" s="29">
        <v>50</v>
      </c>
      <c r="U156" s="29">
        <f t="shared" si="36"/>
        <v>42000</v>
      </c>
      <c r="V156" s="29">
        <f t="shared" si="22"/>
        <v>47040</v>
      </c>
      <c r="W156" s="25"/>
      <c r="X156" s="26">
        <v>2018</v>
      </c>
      <c r="Y156" s="62"/>
      <c r="Z156" s="102"/>
      <c r="AA156" s="102"/>
      <c r="AB156" s="10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52.8">
      <c r="A157" s="3"/>
      <c r="B157" s="20" t="s">
        <v>436</v>
      </c>
      <c r="C157" s="20" t="s">
        <v>36</v>
      </c>
      <c r="D157" s="28" t="s">
        <v>173</v>
      </c>
      <c r="E157" s="20" t="s">
        <v>351</v>
      </c>
      <c r="F157" s="20" t="s">
        <v>356</v>
      </c>
      <c r="G157" s="20"/>
      <c r="H157" s="20" t="s">
        <v>40</v>
      </c>
      <c r="I157" s="20">
        <v>0</v>
      </c>
      <c r="J157" s="22">
        <v>710000000</v>
      </c>
      <c r="K157" s="20" t="s">
        <v>41</v>
      </c>
      <c r="L157" s="20" t="s">
        <v>386</v>
      </c>
      <c r="M157" s="20" t="s">
        <v>42</v>
      </c>
      <c r="N157" s="20" t="s">
        <v>43</v>
      </c>
      <c r="O157" s="23" t="s">
        <v>301</v>
      </c>
      <c r="P157" s="20" t="s">
        <v>302</v>
      </c>
      <c r="Q157" s="20">
        <v>778</v>
      </c>
      <c r="R157" s="20" t="s">
        <v>77</v>
      </c>
      <c r="S157" s="93">
        <v>20</v>
      </c>
      <c r="T157" s="29">
        <v>924</v>
      </c>
      <c r="U157" s="29">
        <f t="shared" si="36"/>
        <v>18480</v>
      </c>
      <c r="V157" s="29">
        <f t="shared" si="22"/>
        <v>20697.599999999999</v>
      </c>
      <c r="W157" s="25"/>
      <c r="X157" s="25">
        <v>2018</v>
      </c>
      <c r="Y157" s="62"/>
      <c r="Z157" s="102"/>
      <c r="AA157" s="102"/>
      <c r="AB157" s="10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52.8">
      <c r="A158" s="3"/>
      <c r="B158" s="20" t="s">
        <v>440</v>
      </c>
      <c r="C158" s="20" t="s">
        <v>36</v>
      </c>
      <c r="D158" s="28" t="s">
        <v>181</v>
      </c>
      <c r="E158" s="20" t="s">
        <v>182</v>
      </c>
      <c r="F158" s="20" t="s">
        <v>358</v>
      </c>
      <c r="G158" s="20"/>
      <c r="H158" s="20" t="s">
        <v>40</v>
      </c>
      <c r="I158" s="20">
        <v>0</v>
      </c>
      <c r="J158" s="22">
        <v>710000000</v>
      </c>
      <c r="K158" s="20" t="s">
        <v>41</v>
      </c>
      <c r="L158" s="20" t="s">
        <v>386</v>
      </c>
      <c r="M158" s="20" t="s">
        <v>42</v>
      </c>
      <c r="N158" s="20" t="s">
        <v>43</v>
      </c>
      <c r="O158" s="23" t="s">
        <v>301</v>
      </c>
      <c r="P158" s="20" t="s">
        <v>302</v>
      </c>
      <c r="Q158" s="20">
        <v>796</v>
      </c>
      <c r="R158" s="20" t="s">
        <v>54</v>
      </c>
      <c r="S158" s="93">
        <v>31</v>
      </c>
      <c r="T158" s="29">
        <v>3053</v>
      </c>
      <c r="U158" s="29">
        <f t="shared" si="36"/>
        <v>94643</v>
      </c>
      <c r="V158" s="29">
        <f t="shared" si="22"/>
        <v>106000.16</v>
      </c>
      <c r="W158" s="25"/>
      <c r="X158" s="25">
        <v>2018</v>
      </c>
      <c r="Y158" s="62"/>
      <c r="Z158" s="102"/>
      <c r="AA158" s="102"/>
      <c r="AB158" s="10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52.8">
      <c r="A159" s="3"/>
      <c r="B159" s="20" t="s">
        <v>444</v>
      </c>
      <c r="C159" s="20" t="s">
        <v>36</v>
      </c>
      <c r="D159" s="28" t="s">
        <v>185</v>
      </c>
      <c r="E159" s="20" t="s">
        <v>186</v>
      </c>
      <c r="F159" s="20" t="s">
        <v>360</v>
      </c>
      <c r="G159" s="20"/>
      <c r="H159" s="20" t="s">
        <v>40</v>
      </c>
      <c r="I159" s="20">
        <v>0</v>
      </c>
      <c r="J159" s="22">
        <v>710000000</v>
      </c>
      <c r="K159" s="20" t="s">
        <v>41</v>
      </c>
      <c r="L159" s="20" t="s">
        <v>386</v>
      </c>
      <c r="M159" s="20" t="s">
        <v>42</v>
      </c>
      <c r="N159" s="20" t="s">
        <v>43</v>
      </c>
      <c r="O159" s="23" t="s">
        <v>301</v>
      </c>
      <c r="P159" s="20" t="s">
        <v>302</v>
      </c>
      <c r="Q159" s="20">
        <v>796</v>
      </c>
      <c r="R159" s="20" t="s">
        <v>54</v>
      </c>
      <c r="S159" s="93">
        <v>31</v>
      </c>
      <c r="T159" s="29">
        <v>732</v>
      </c>
      <c r="U159" s="29">
        <f t="shared" si="36"/>
        <v>22692</v>
      </c>
      <c r="V159" s="29">
        <f t="shared" si="22"/>
        <v>25415.040000000001</v>
      </c>
      <c r="W159" s="25"/>
      <c r="X159" s="25">
        <v>2018</v>
      </c>
      <c r="Y159" s="62"/>
      <c r="Z159" s="102"/>
      <c r="AA159" s="102"/>
      <c r="AB159" s="10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52.8">
      <c r="A160" s="3"/>
      <c r="B160" s="20" t="s">
        <v>446</v>
      </c>
      <c r="C160" s="20" t="s">
        <v>36</v>
      </c>
      <c r="D160" s="28" t="s">
        <v>362</v>
      </c>
      <c r="E160" s="20" t="s">
        <v>363</v>
      </c>
      <c r="F160" s="20" t="s">
        <v>364</v>
      </c>
      <c r="G160" s="20"/>
      <c r="H160" s="20" t="s">
        <v>40</v>
      </c>
      <c r="I160" s="20">
        <v>0</v>
      </c>
      <c r="J160" s="22">
        <v>710000000</v>
      </c>
      <c r="K160" s="20" t="s">
        <v>41</v>
      </c>
      <c r="L160" s="20" t="s">
        <v>386</v>
      </c>
      <c r="M160" s="20" t="s">
        <v>42</v>
      </c>
      <c r="N160" s="20" t="s">
        <v>43</v>
      </c>
      <c r="O160" s="23" t="s">
        <v>301</v>
      </c>
      <c r="P160" s="20" t="s">
        <v>302</v>
      </c>
      <c r="Q160" s="20">
        <v>796</v>
      </c>
      <c r="R160" s="20" t="s">
        <v>54</v>
      </c>
      <c r="S160" s="93">
        <v>840</v>
      </c>
      <c r="T160" s="29">
        <v>174</v>
      </c>
      <c r="U160" s="29">
        <f t="shared" si="36"/>
        <v>146160</v>
      </c>
      <c r="V160" s="29">
        <f t="shared" ref="V160:V199" si="37">U160+(U160*12%)</f>
        <v>163699.20000000001</v>
      </c>
      <c r="W160" s="25"/>
      <c r="X160" s="25">
        <v>2018</v>
      </c>
      <c r="Y160" s="62"/>
      <c r="Z160" s="102"/>
      <c r="AA160" s="102"/>
      <c r="AB160" s="10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52.8">
      <c r="A161" s="3"/>
      <c r="B161" s="20" t="s">
        <v>450</v>
      </c>
      <c r="C161" s="28" t="s">
        <v>36</v>
      </c>
      <c r="D161" s="28" t="s">
        <v>193</v>
      </c>
      <c r="E161" s="28" t="s">
        <v>194</v>
      </c>
      <c r="F161" s="28" t="s">
        <v>366</v>
      </c>
      <c r="G161" s="28"/>
      <c r="H161" s="40" t="s">
        <v>40</v>
      </c>
      <c r="I161" s="28">
        <v>0</v>
      </c>
      <c r="J161" s="22">
        <v>710000000</v>
      </c>
      <c r="K161" s="28" t="s">
        <v>41</v>
      </c>
      <c r="L161" s="20" t="s">
        <v>386</v>
      </c>
      <c r="M161" s="28" t="s">
        <v>42</v>
      </c>
      <c r="N161" s="28" t="s">
        <v>43</v>
      </c>
      <c r="O161" s="23" t="s">
        <v>367</v>
      </c>
      <c r="P161" s="20" t="s">
        <v>302</v>
      </c>
      <c r="Q161" s="28">
        <v>796</v>
      </c>
      <c r="R161" s="28" t="s">
        <v>54</v>
      </c>
      <c r="S161" s="94">
        <v>31</v>
      </c>
      <c r="T161" s="29">
        <v>3214</v>
      </c>
      <c r="U161" s="29">
        <f t="shared" si="36"/>
        <v>99634</v>
      </c>
      <c r="V161" s="29">
        <f t="shared" si="37"/>
        <v>111590.08</v>
      </c>
      <c r="W161" s="30"/>
      <c r="X161" s="30">
        <v>2018</v>
      </c>
      <c r="Y161" s="62"/>
      <c r="Z161" s="102"/>
      <c r="AA161" s="102"/>
      <c r="AB161" s="10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52.8">
      <c r="A162" s="3"/>
      <c r="B162" s="20" t="s">
        <v>454</v>
      </c>
      <c r="C162" s="28" t="s">
        <v>36</v>
      </c>
      <c r="D162" s="28" t="s">
        <v>197</v>
      </c>
      <c r="E162" s="28" t="s">
        <v>369</v>
      </c>
      <c r="F162" s="28" t="s">
        <v>370</v>
      </c>
      <c r="G162" s="28"/>
      <c r="H162" s="40" t="s">
        <v>40</v>
      </c>
      <c r="I162" s="28">
        <v>0</v>
      </c>
      <c r="J162" s="22">
        <v>710000000</v>
      </c>
      <c r="K162" s="28" t="s">
        <v>41</v>
      </c>
      <c r="L162" s="20" t="s">
        <v>386</v>
      </c>
      <c r="M162" s="28" t="s">
        <v>42</v>
      </c>
      <c r="N162" s="28" t="s">
        <v>43</v>
      </c>
      <c r="O162" s="23" t="s">
        <v>367</v>
      </c>
      <c r="P162" s="20" t="s">
        <v>302</v>
      </c>
      <c r="Q162" s="28">
        <v>796</v>
      </c>
      <c r="R162" s="28" t="s">
        <v>54</v>
      </c>
      <c r="S162" s="94">
        <v>26</v>
      </c>
      <c r="T162" s="29">
        <v>6875</v>
      </c>
      <c r="U162" s="29">
        <f t="shared" si="36"/>
        <v>178750</v>
      </c>
      <c r="V162" s="29">
        <f t="shared" si="37"/>
        <v>200200</v>
      </c>
      <c r="W162" s="30"/>
      <c r="X162" s="30">
        <v>2018</v>
      </c>
      <c r="Y162" s="62"/>
      <c r="Z162" s="102"/>
      <c r="AA162" s="102"/>
      <c r="AB162" s="10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52.8">
      <c r="A163" s="3"/>
      <c r="B163" s="20" t="s">
        <v>456</v>
      </c>
      <c r="C163" s="28" t="s">
        <v>36</v>
      </c>
      <c r="D163" s="28" t="s">
        <v>201</v>
      </c>
      <c r="E163" s="28" t="s">
        <v>202</v>
      </c>
      <c r="F163" s="28" t="s">
        <v>372</v>
      </c>
      <c r="G163" s="28"/>
      <c r="H163" s="40" t="s">
        <v>40</v>
      </c>
      <c r="I163" s="28">
        <v>0</v>
      </c>
      <c r="J163" s="22">
        <v>710000000</v>
      </c>
      <c r="K163" s="28" t="s">
        <v>41</v>
      </c>
      <c r="L163" s="20" t="s">
        <v>386</v>
      </c>
      <c r="M163" s="28" t="s">
        <v>42</v>
      </c>
      <c r="N163" s="28" t="s">
        <v>43</v>
      </c>
      <c r="O163" s="23" t="s">
        <v>367</v>
      </c>
      <c r="P163" s="20" t="s">
        <v>302</v>
      </c>
      <c r="Q163" s="28">
        <v>796</v>
      </c>
      <c r="R163" s="28" t="s">
        <v>54</v>
      </c>
      <c r="S163" s="94">
        <v>31</v>
      </c>
      <c r="T163" s="29">
        <v>5000</v>
      </c>
      <c r="U163" s="29">
        <f t="shared" si="36"/>
        <v>155000</v>
      </c>
      <c r="V163" s="29">
        <f t="shared" si="37"/>
        <v>173600</v>
      </c>
      <c r="W163" s="30"/>
      <c r="X163" s="30">
        <v>2018</v>
      </c>
      <c r="Y163" s="62"/>
      <c r="Z163" s="102"/>
      <c r="AA163" s="102"/>
      <c r="AB163" s="10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52.8">
      <c r="A164" s="3"/>
      <c r="B164" s="20" t="s">
        <v>460</v>
      </c>
      <c r="C164" s="20" t="s">
        <v>36</v>
      </c>
      <c r="D164" s="28" t="s">
        <v>374</v>
      </c>
      <c r="E164" s="20" t="s">
        <v>375</v>
      </c>
      <c r="F164" s="28" t="s">
        <v>376</v>
      </c>
      <c r="G164" s="27"/>
      <c r="H164" s="20" t="s">
        <v>40</v>
      </c>
      <c r="I164" s="20">
        <v>0</v>
      </c>
      <c r="J164" s="22">
        <v>710000000</v>
      </c>
      <c r="K164" s="20" t="s">
        <v>41</v>
      </c>
      <c r="L164" s="20" t="s">
        <v>386</v>
      </c>
      <c r="M164" s="20" t="s">
        <v>42</v>
      </c>
      <c r="N164" s="20" t="s">
        <v>43</v>
      </c>
      <c r="O164" s="23" t="s">
        <v>367</v>
      </c>
      <c r="P164" s="20" t="s">
        <v>302</v>
      </c>
      <c r="Q164" s="20">
        <v>796</v>
      </c>
      <c r="R164" s="20" t="s">
        <v>54</v>
      </c>
      <c r="S164" s="93">
        <v>10</v>
      </c>
      <c r="T164" s="29">
        <v>312</v>
      </c>
      <c r="U164" s="29">
        <f t="shared" si="36"/>
        <v>3120</v>
      </c>
      <c r="V164" s="29">
        <f t="shared" si="37"/>
        <v>3494.4</v>
      </c>
      <c r="W164" s="25"/>
      <c r="X164" s="25">
        <v>2018</v>
      </c>
      <c r="Y164" s="62"/>
      <c r="Z164" s="102"/>
      <c r="AA164" s="102"/>
      <c r="AB164" s="10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52.8">
      <c r="A165" s="3"/>
      <c r="B165" s="20" t="s">
        <v>464</v>
      </c>
      <c r="C165" s="20" t="s">
        <v>36</v>
      </c>
      <c r="D165" s="28" t="s">
        <v>283</v>
      </c>
      <c r="E165" s="20" t="s">
        <v>284</v>
      </c>
      <c r="F165" s="28" t="s">
        <v>378</v>
      </c>
      <c r="G165" s="20"/>
      <c r="H165" s="20" t="s">
        <v>40</v>
      </c>
      <c r="I165" s="20">
        <v>0</v>
      </c>
      <c r="J165" s="22">
        <v>710000000</v>
      </c>
      <c r="K165" s="20" t="s">
        <v>41</v>
      </c>
      <c r="L165" s="20" t="s">
        <v>386</v>
      </c>
      <c r="M165" s="20" t="s">
        <v>42</v>
      </c>
      <c r="N165" s="20" t="s">
        <v>43</v>
      </c>
      <c r="O165" s="23" t="s">
        <v>367</v>
      </c>
      <c r="P165" s="20" t="s">
        <v>302</v>
      </c>
      <c r="Q165" s="20">
        <v>778</v>
      </c>
      <c r="R165" s="20" t="s">
        <v>77</v>
      </c>
      <c r="S165" s="93">
        <v>62</v>
      </c>
      <c r="T165" s="29">
        <v>2946</v>
      </c>
      <c r="U165" s="29">
        <f t="shared" si="36"/>
        <v>182652</v>
      </c>
      <c r="V165" s="29">
        <f t="shared" si="37"/>
        <v>204570.23999999999</v>
      </c>
      <c r="W165" s="25"/>
      <c r="X165" s="25">
        <v>2018</v>
      </c>
      <c r="Y165" s="62"/>
      <c r="Z165" s="102"/>
      <c r="AA165" s="102"/>
      <c r="AB165" s="10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52.8">
      <c r="A166" s="3"/>
      <c r="B166" s="20" t="s">
        <v>468</v>
      </c>
      <c r="C166" s="20" t="s">
        <v>36</v>
      </c>
      <c r="D166" s="28" t="s">
        <v>218</v>
      </c>
      <c r="E166" s="20" t="s">
        <v>380</v>
      </c>
      <c r="F166" s="28" t="s">
        <v>381</v>
      </c>
      <c r="G166" s="20"/>
      <c r="H166" s="20" t="s">
        <v>40</v>
      </c>
      <c r="I166" s="20">
        <v>0</v>
      </c>
      <c r="J166" s="22">
        <v>710000000</v>
      </c>
      <c r="K166" s="20" t="s">
        <v>41</v>
      </c>
      <c r="L166" s="20" t="s">
        <v>386</v>
      </c>
      <c r="M166" s="20" t="s">
        <v>42</v>
      </c>
      <c r="N166" s="20" t="s">
        <v>43</v>
      </c>
      <c r="O166" s="23" t="s">
        <v>367</v>
      </c>
      <c r="P166" s="20" t="s">
        <v>302</v>
      </c>
      <c r="Q166" s="20">
        <v>778</v>
      </c>
      <c r="R166" s="20" t="s">
        <v>77</v>
      </c>
      <c r="S166" s="93">
        <v>31</v>
      </c>
      <c r="T166" s="29">
        <v>1071</v>
      </c>
      <c r="U166" s="29">
        <f t="shared" si="36"/>
        <v>33201</v>
      </c>
      <c r="V166" s="29">
        <f t="shared" si="37"/>
        <v>37185.120000000003</v>
      </c>
      <c r="W166" s="25"/>
      <c r="X166" s="25">
        <v>2018</v>
      </c>
      <c r="Y166" s="62"/>
      <c r="Z166" s="102"/>
      <c r="AA166" s="102"/>
      <c r="AB166" s="10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52.8">
      <c r="A167" s="3"/>
      <c r="B167" s="20" t="s">
        <v>472</v>
      </c>
      <c r="C167" s="20" t="s">
        <v>36</v>
      </c>
      <c r="D167" s="28" t="s">
        <v>383</v>
      </c>
      <c r="E167" s="20" t="s">
        <v>384</v>
      </c>
      <c r="F167" s="28" t="s">
        <v>385</v>
      </c>
      <c r="G167" s="20"/>
      <c r="H167" s="20" t="s">
        <v>40</v>
      </c>
      <c r="I167" s="20">
        <v>0</v>
      </c>
      <c r="J167" s="22">
        <v>710000000</v>
      </c>
      <c r="K167" s="20" t="s">
        <v>41</v>
      </c>
      <c r="L167" s="20" t="s">
        <v>670</v>
      </c>
      <c r="M167" s="20" t="s">
        <v>42</v>
      </c>
      <c r="N167" s="20" t="s">
        <v>43</v>
      </c>
      <c r="O167" s="23" t="s">
        <v>367</v>
      </c>
      <c r="P167" s="20" t="s">
        <v>302</v>
      </c>
      <c r="Q167" s="20">
        <v>796</v>
      </c>
      <c r="R167" s="20" t="s">
        <v>54</v>
      </c>
      <c r="S167" s="93">
        <v>5</v>
      </c>
      <c r="T167" s="29">
        <v>3571</v>
      </c>
      <c r="U167" s="29">
        <f t="shared" si="36"/>
        <v>17855</v>
      </c>
      <c r="V167" s="29">
        <f>U167+(U167*12%)</f>
        <v>19997.599999999999</v>
      </c>
      <c r="W167" s="25"/>
      <c r="X167" s="25">
        <v>2018</v>
      </c>
      <c r="Y167" s="62"/>
      <c r="Z167" s="102"/>
      <c r="AA167" s="102"/>
      <c r="AB167" s="10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52.8">
      <c r="A168" s="3"/>
      <c r="B168" s="20" t="s">
        <v>474</v>
      </c>
      <c r="C168" s="20" t="s">
        <v>36</v>
      </c>
      <c r="D168" s="28" t="s">
        <v>110</v>
      </c>
      <c r="E168" s="20" t="s">
        <v>111</v>
      </c>
      <c r="F168" s="20" t="s">
        <v>388</v>
      </c>
      <c r="G168" s="20"/>
      <c r="H168" s="20" t="s">
        <v>40</v>
      </c>
      <c r="I168" s="20">
        <v>0</v>
      </c>
      <c r="J168" s="22">
        <v>710000000</v>
      </c>
      <c r="K168" s="20" t="s">
        <v>41</v>
      </c>
      <c r="L168" s="20" t="s">
        <v>386</v>
      </c>
      <c r="M168" s="20" t="s">
        <v>42</v>
      </c>
      <c r="N168" s="20" t="s">
        <v>43</v>
      </c>
      <c r="O168" s="23" t="s">
        <v>301</v>
      </c>
      <c r="P168" s="20" t="s">
        <v>302</v>
      </c>
      <c r="Q168" s="20">
        <v>796</v>
      </c>
      <c r="R168" s="20" t="s">
        <v>54</v>
      </c>
      <c r="S168" s="93">
        <v>420</v>
      </c>
      <c r="T168" s="29">
        <v>491</v>
      </c>
      <c r="U168" s="29">
        <f t="shared" si="36"/>
        <v>206220</v>
      </c>
      <c r="V168" s="29">
        <f t="shared" si="37"/>
        <v>230966.39999999999</v>
      </c>
      <c r="W168" s="25"/>
      <c r="X168" s="25">
        <v>2018</v>
      </c>
      <c r="Y168" s="62"/>
      <c r="Z168" s="102"/>
      <c r="AA168" s="102"/>
      <c r="AB168" s="10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52.8">
      <c r="A169" s="3"/>
      <c r="B169" s="20" t="s">
        <v>478</v>
      </c>
      <c r="C169" s="20" t="s">
        <v>36</v>
      </c>
      <c r="D169" s="28" t="s">
        <v>225</v>
      </c>
      <c r="E169" s="20" t="s">
        <v>226</v>
      </c>
      <c r="F169" s="20" t="s">
        <v>390</v>
      </c>
      <c r="G169" s="20"/>
      <c r="H169" s="20" t="s">
        <v>40</v>
      </c>
      <c r="I169" s="20">
        <v>0</v>
      </c>
      <c r="J169" s="22">
        <v>710000000</v>
      </c>
      <c r="K169" s="20" t="s">
        <v>41</v>
      </c>
      <c r="L169" s="20" t="s">
        <v>386</v>
      </c>
      <c r="M169" s="20" t="s">
        <v>42</v>
      </c>
      <c r="N169" s="20" t="s">
        <v>43</v>
      </c>
      <c r="O169" s="23" t="s">
        <v>301</v>
      </c>
      <c r="P169" s="20" t="s">
        <v>302</v>
      </c>
      <c r="Q169" s="20">
        <v>796</v>
      </c>
      <c r="R169" s="20" t="s">
        <v>54</v>
      </c>
      <c r="S169" s="93">
        <v>31</v>
      </c>
      <c r="T169" s="29">
        <v>84</v>
      </c>
      <c r="U169" s="29">
        <f t="shared" si="36"/>
        <v>2604</v>
      </c>
      <c r="V169" s="29">
        <f t="shared" si="37"/>
        <v>2916.48</v>
      </c>
      <c r="W169" s="25"/>
      <c r="X169" s="25">
        <v>2018</v>
      </c>
      <c r="Y169" s="62"/>
      <c r="Z169" s="102"/>
      <c r="AA169" s="102"/>
      <c r="AB169" s="10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52.8">
      <c r="A170" s="3"/>
      <c r="B170" s="20" t="s">
        <v>482</v>
      </c>
      <c r="C170" s="20" t="s">
        <v>36</v>
      </c>
      <c r="D170" s="28" t="s">
        <v>229</v>
      </c>
      <c r="E170" s="20" t="s">
        <v>226</v>
      </c>
      <c r="F170" s="20" t="s">
        <v>392</v>
      </c>
      <c r="G170" s="20"/>
      <c r="H170" s="20" t="s">
        <v>40</v>
      </c>
      <c r="I170" s="20">
        <v>0</v>
      </c>
      <c r="J170" s="22">
        <v>710000000</v>
      </c>
      <c r="K170" s="20" t="s">
        <v>41</v>
      </c>
      <c r="L170" s="20" t="s">
        <v>670</v>
      </c>
      <c r="M170" s="20" t="s">
        <v>42</v>
      </c>
      <c r="N170" s="20" t="s">
        <v>43</v>
      </c>
      <c r="O170" s="23" t="s">
        <v>301</v>
      </c>
      <c r="P170" s="20" t="s">
        <v>302</v>
      </c>
      <c r="Q170" s="20">
        <v>796</v>
      </c>
      <c r="R170" s="20" t="s">
        <v>54</v>
      </c>
      <c r="S170" s="93">
        <v>12</v>
      </c>
      <c r="T170" s="29">
        <v>3482</v>
      </c>
      <c r="U170" s="29">
        <f t="shared" si="36"/>
        <v>41784</v>
      </c>
      <c r="V170" s="29">
        <f t="shared" si="37"/>
        <v>46798.080000000002</v>
      </c>
      <c r="W170" s="25"/>
      <c r="X170" s="25">
        <v>2018</v>
      </c>
      <c r="Y170" s="62"/>
      <c r="Z170" s="102"/>
      <c r="AA170" s="102"/>
      <c r="AB170" s="10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52.8">
      <c r="A171" s="3"/>
      <c r="B171" s="20" t="s">
        <v>484</v>
      </c>
      <c r="C171" s="20" t="s">
        <v>36</v>
      </c>
      <c r="D171" s="28" t="s">
        <v>233</v>
      </c>
      <c r="E171" s="20" t="s">
        <v>394</v>
      </c>
      <c r="F171" s="20" t="s">
        <v>395</v>
      </c>
      <c r="G171" s="20"/>
      <c r="H171" s="20" t="s">
        <v>40</v>
      </c>
      <c r="I171" s="20">
        <v>0</v>
      </c>
      <c r="J171" s="22">
        <v>710000000</v>
      </c>
      <c r="K171" s="20" t="s">
        <v>41</v>
      </c>
      <c r="L171" s="20" t="s">
        <v>670</v>
      </c>
      <c r="M171" s="20" t="s">
        <v>42</v>
      </c>
      <c r="N171" s="20" t="s">
        <v>43</v>
      </c>
      <c r="O171" s="23" t="s">
        <v>301</v>
      </c>
      <c r="P171" s="20" t="s">
        <v>302</v>
      </c>
      <c r="Q171" s="20">
        <v>704</v>
      </c>
      <c r="R171" s="20" t="s">
        <v>315</v>
      </c>
      <c r="S171" s="93">
        <v>62</v>
      </c>
      <c r="T171" s="29">
        <v>696</v>
      </c>
      <c r="U171" s="29">
        <f t="shared" si="36"/>
        <v>43152</v>
      </c>
      <c r="V171" s="29">
        <f t="shared" si="37"/>
        <v>48330.239999999998</v>
      </c>
      <c r="W171" s="25"/>
      <c r="X171" s="25">
        <v>2018</v>
      </c>
      <c r="Y171" s="62"/>
      <c r="Z171" s="102"/>
      <c r="AA171" s="102"/>
      <c r="AB171" s="10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52.8">
      <c r="A172" s="3"/>
      <c r="B172" s="20" t="s">
        <v>488</v>
      </c>
      <c r="C172" s="20" t="s">
        <v>36</v>
      </c>
      <c r="D172" s="28" t="s">
        <v>233</v>
      </c>
      <c r="E172" s="20" t="s">
        <v>394</v>
      </c>
      <c r="F172" s="20" t="s">
        <v>397</v>
      </c>
      <c r="G172" s="20"/>
      <c r="H172" s="20" t="s">
        <v>40</v>
      </c>
      <c r="I172" s="20">
        <v>0</v>
      </c>
      <c r="J172" s="22">
        <v>710000000</v>
      </c>
      <c r="K172" s="20" t="s">
        <v>41</v>
      </c>
      <c r="L172" s="20" t="s">
        <v>670</v>
      </c>
      <c r="M172" s="20" t="s">
        <v>42</v>
      </c>
      <c r="N172" s="20" t="s">
        <v>43</v>
      </c>
      <c r="O172" s="23" t="s">
        <v>301</v>
      </c>
      <c r="P172" s="20" t="s">
        <v>302</v>
      </c>
      <c r="Q172" s="20">
        <v>704</v>
      </c>
      <c r="R172" s="20" t="s">
        <v>315</v>
      </c>
      <c r="S172" s="93">
        <v>420</v>
      </c>
      <c r="T172" s="29">
        <v>455</v>
      </c>
      <c r="U172" s="29">
        <f t="shared" si="36"/>
        <v>191100</v>
      </c>
      <c r="V172" s="29">
        <f t="shared" si="37"/>
        <v>214032</v>
      </c>
      <c r="W172" s="25"/>
      <c r="X172" s="25">
        <v>2018</v>
      </c>
      <c r="Y172" s="62"/>
      <c r="Z172" s="102"/>
      <c r="AA172" s="102"/>
      <c r="AB172" s="10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52.8">
      <c r="A173" s="3"/>
      <c r="B173" s="20" t="s">
        <v>491</v>
      </c>
      <c r="C173" s="20" t="s">
        <v>36</v>
      </c>
      <c r="D173" s="28" t="s">
        <v>110</v>
      </c>
      <c r="E173" s="20" t="s">
        <v>399</v>
      </c>
      <c r="F173" s="20" t="s">
        <v>400</v>
      </c>
      <c r="G173" s="20"/>
      <c r="H173" s="20" t="s">
        <v>40</v>
      </c>
      <c r="I173" s="20">
        <v>0</v>
      </c>
      <c r="J173" s="22">
        <v>710000000</v>
      </c>
      <c r="K173" s="20" t="s">
        <v>41</v>
      </c>
      <c r="L173" s="20" t="s">
        <v>386</v>
      </c>
      <c r="M173" s="20" t="s">
        <v>42</v>
      </c>
      <c r="N173" s="20" t="s">
        <v>43</v>
      </c>
      <c r="O173" s="23" t="s">
        <v>301</v>
      </c>
      <c r="P173" s="20" t="s">
        <v>302</v>
      </c>
      <c r="Q173" s="20">
        <v>796</v>
      </c>
      <c r="R173" s="20" t="s">
        <v>54</v>
      </c>
      <c r="S173" s="93">
        <v>31</v>
      </c>
      <c r="T173" s="29">
        <v>736</v>
      </c>
      <c r="U173" s="29">
        <f t="shared" si="36"/>
        <v>22816</v>
      </c>
      <c r="V173" s="29">
        <f t="shared" si="37"/>
        <v>25553.919999999998</v>
      </c>
      <c r="W173" s="25"/>
      <c r="X173" s="25">
        <v>2018</v>
      </c>
      <c r="Y173" s="62"/>
      <c r="Z173" s="102"/>
      <c r="AA173" s="102"/>
      <c r="AB173" s="10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52.8">
      <c r="A174" s="3"/>
      <c r="B174" s="20" t="s">
        <v>493</v>
      </c>
      <c r="C174" s="20" t="s">
        <v>36</v>
      </c>
      <c r="D174" s="28" t="s">
        <v>243</v>
      </c>
      <c r="E174" s="20" t="s">
        <v>402</v>
      </c>
      <c r="F174" s="20" t="s">
        <v>403</v>
      </c>
      <c r="G174" s="20"/>
      <c r="H174" s="20" t="s">
        <v>40</v>
      </c>
      <c r="I174" s="20">
        <v>0</v>
      </c>
      <c r="J174" s="22">
        <v>710000000</v>
      </c>
      <c r="K174" s="20" t="s">
        <v>41</v>
      </c>
      <c r="L174" s="20" t="s">
        <v>386</v>
      </c>
      <c r="M174" s="20" t="s">
        <v>42</v>
      </c>
      <c r="N174" s="20" t="s">
        <v>43</v>
      </c>
      <c r="O174" s="23" t="s">
        <v>301</v>
      </c>
      <c r="P174" s="20" t="s">
        <v>302</v>
      </c>
      <c r="Q174" s="20">
        <v>796</v>
      </c>
      <c r="R174" s="20" t="s">
        <v>54</v>
      </c>
      <c r="S174" s="93">
        <v>10</v>
      </c>
      <c r="T174" s="29">
        <v>455</v>
      </c>
      <c r="U174" s="29">
        <f t="shared" si="36"/>
        <v>4550</v>
      </c>
      <c r="V174" s="29">
        <f t="shared" si="37"/>
        <v>5096</v>
      </c>
      <c r="W174" s="25"/>
      <c r="X174" s="25">
        <v>2018</v>
      </c>
      <c r="Y174" s="62"/>
      <c r="Z174" s="102"/>
      <c r="AA174" s="102"/>
      <c r="AB174" s="10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52.8">
      <c r="A175" s="3"/>
      <c r="B175" s="20" t="s">
        <v>497</v>
      </c>
      <c r="C175" s="20" t="s">
        <v>36</v>
      </c>
      <c r="D175" s="28" t="s">
        <v>247</v>
      </c>
      <c r="E175" s="28" t="s">
        <v>405</v>
      </c>
      <c r="F175" s="28" t="s">
        <v>406</v>
      </c>
      <c r="G175" s="28"/>
      <c r="H175" s="20" t="s">
        <v>40</v>
      </c>
      <c r="I175" s="28">
        <v>0</v>
      </c>
      <c r="J175" s="22">
        <v>710000000</v>
      </c>
      <c r="K175" s="28" t="s">
        <v>41</v>
      </c>
      <c r="L175" s="20" t="s">
        <v>386</v>
      </c>
      <c r="M175" s="28" t="s">
        <v>42</v>
      </c>
      <c r="N175" s="28" t="s">
        <v>43</v>
      </c>
      <c r="O175" s="23" t="s">
        <v>301</v>
      </c>
      <c r="P175" s="20" t="s">
        <v>302</v>
      </c>
      <c r="Q175" s="28">
        <v>796</v>
      </c>
      <c r="R175" s="28" t="s">
        <v>54</v>
      </c>
      <c r="S175" s="94">
        <v>10</v>
      </c>
      <c r="T175" s="29">
        <v>562</v>
      </c>
      <c r="U175" s="29">
        <f t="shared" si="36"/>
        <v>5620</v>
      </c>
      <c r="V175" s="29">
        <f t="shared" si="37"/>
        <v>6294.4</v>
      </c>
      <c r="W175" s="30"/>
      <c r="X175" s="25">
        <v>2018</v>
      </c>
      <c r="Y175" s="62"/>
      <c r="Z175" s="102"/>
      <c r="AA175" s="102"/>
      <c r="AB175" s="10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52.8">
      <c r="A176" s="3"/>
      <c r="B176" s="20" t="s">
        <v>501</v>
      </c>
      <c r="C176" s="20" t="s">
        <v>36</v>
      </c>
      <c r="D176" s="28" t="s">
        <v>37</v>
      </c>
      <c r="E176" s="20" t="s">
        <v>835</v>
      </c>
      <c r="F176" s="20" t="s">
        <v>408</v>
      </c>
      <c r="G176" s="20"/>
      <c r="H176" s="20" t="s">
        <v>40</v>
      </c>
      <c r="I176" s="20">
        <v>0</v>
      </c>
      <c r="J176" s="22">
        <v>710000000</v>
      </c>
      <c r="K176" s="20" t="s">
        <v>41</v>
      </c>
      <c r="L176" s="20" t="s">
        <v>386</v>
      </c>
      <c r="M176" s="20" t="s">
        <v>42</v>
      </c>
      <c r="N176" s="20" t="s">
        <v>43</v>
      </c>
      <c r="O176" s="23" t="s">
        <v>301</v>
      </c>
      <c r="P176" s="20" t="s">
        <v>302</v>
      </c>
      <c r="Q176" s="20">
        <v>5111</v>
      </c>
      <c r="R176" s="20" t="s">
        <v>44</v>
      </c>
      <c r="S176" s="93">
        <v>40</v>
      </c>
      <c r="T176" s="29">
        <v>3142</v>
      </c>
      <c r="U176" s="29">
        <f t="shared" si="36"/>
        <v>125680</v>
      </c>
      <c r="V176" s="29">
        <f t="shared" si="37"/>
        <v>140761.60000000001</v>
      </c>
      <c r="W176" s="25"/>
      <c r="X176" s="25">
        <v>2018</v>
      </c>
      <c r="Y176" s="62"/>
      <c r="Z176" s="102"/>
      <c r="AA176" s="102"/>
      <c r="AB176" s="10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52.8">
      <c r="A177" s="3"/>
      <c r="B177" s="20" t="s">
        <v>505</v>
      </c>
      <c r="C177" s="20" t="s">
        <v>36</v>
      </c>
      <c r="D177" s="28" t="s">
        <v>254</v>
      </c>
      <c r="E177" s="20" t="s">
        <v>255</v>
      </c>
      <c r="F177" s="20" t="s">
        <v>256</v>
      </c>
      <c r="G177" s="20"/>
      <c r="H177" s="20" t="s">
        <v>40</v>
      </c>
      <c r="I177" s="20">
        <v>0</v>
      </c>
      <c r="J177" s="22">
        <v>710000000</v>
      </c>
      <c r="K177" s="20" t="s">
        <v>41</v>
      </c>
      <c r="L177" s="20" t="s">
        <v>386</v>
      </c>
      <c r="M177" s="20" t="s">
        <v>42</v>
      </c>
      <c r="N177" s="20" t="s">
        <v>43</v>
      </c>
      <c r="O177" s="23" t="s">
        <v>301</v>
      </c>
      <c r="P177" s="20" t="s">
        <v>302</v>
      </c>
      <c r="Q177" s="20">
        <v>796</v>
      </c>
      <c r="R177" s="20" t="s">
        <v>54</v>
      </c>
      <c r="S177" s="93">
        <v>30</v>
      </c>
      <c r="T177" s="29">
        <v>24</v>
      </c>
      <c r="U177" s="29">
        <v>715</v>
      </c>
      <c r="V177" s="29">
        <f t="shared" si="37"/>
        <v>800.8</v>
      </c>
      <c r="W177" s="25"/>
      <c r="X177" s="25">
        <v>2018</v>
      </c>
      <c r="Y177" s="62"/>
      <c r="Z177" s="102"/>
      <c r="AA177" s="102"/>
      <c r="AB177" s="10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52.8">
      <c r="A178" s="3"/>
      <c r="B178" s="20" t="s">
        <v>509</v>
      </c>
      <c r="C178" s="20" t="s">
        <v>36</v>
      </c>
      <c r="D178" s="28" t="s">
        <v>258</v>
      </c>
      <c r="E178" s="20" t="s">
        <v>255</v>
      </c>
      <c r="F178" s="20" t="s">
        <v>411</v>
      </c>
      <c r="G178" s="20"/>
      <c r="H178" s="20" t="s">
        <v>40</v>
      </c>
      <c r="I178" s="20">
        <v>0</v>
      </c>
      <c r="J178" s="22">
        <v>710000000</v>
      </c>
      <c r="K178" s="20" t="s">
        <v>41</v>
      </c>
      <c r="L178" s="20" t="s">
        <v>386</v>
      </c>
      <c r="M178" s="20" t="s">
        <v>42</v>
      </c>
      <c r="N178" s="20" t="s">
        <v>43</v>
      </c>
      <c r="O178" s="23" t="s">
        <v>301</v>
      </c>
      <c r="P178" s="20" t="s">
        <v>302</v>
      </c>
      <c r="Q178" s="20">
        <v>796</v>
      </c>
      <c r="R178" s="20" t="s">
        <v>54</v>
      </c>
      <c r="S178" s="93">
        <v>30</v>
      </c>
      <c r="T178" s="29">
        <v>42</v>
      </c>
      <c r="U178" s="29">
        <f t="shared" ref="U178:U240" si="38">S178*T178</f>
        <v>1260</v>
      </c>
      <c r="V178" s="29">
        <f t="shared" si="37"/>
        <v>1411.2</v>
      </c>
      <c r="W178" s="25"/>
      <c r="X178" s="25">
        <v>2018</v>
      </c>
      <c r="Y178" s="62"/>
      <c r="Z178" s="102"/>
      <c r="AA178" s="102"/>
      <c r="AB178" s="10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52.8">
      <c r="A179" s="3"/>
      <c r="B179" s="20" t="s">
        <v>510</v>
      </c>
      <c r="C179" s="20" t="s">
        <v>36</v>
      </c>
      <c r="D179" s="28" t="s">
        <v>261</v>
      </c>
      <c r="E179" s="20" t="s">
        <v>413</v>
      </c>
      <c r="F179" s="20" t="s">
        <v>414</v>
      </c>
      <c r="G179" s="20"/>
      <c r="H179" s="20" t="s">
        <v>40</v>
      </c>
      <c r="I179" s="20">
        <v>0</v>
      </c>
      <c r="J179" s="22">
        <v>710000000</v>
      </c>
      <c r="K179" s="20" t="s">
        <v>41</v>
      </c>
      <c r="L179" s="20" t="s">
        <v>386</v>
      </c>
      <c r="M179" s="20" t="s">
        <v>42</v>
      </c>
      <c r="N179" s="20" t="s">
        <v>43</v>
      </c>
      <c r="O179" s="23" t="s">
        <v>301</v>
      </c>
      <c r="P179" s="20" t="s">
        <v>302</v>
      </c>
      <c r="Q179" s="20">
        <v>796</v>
      </c>
      <c r="R179" s="20" t="s">
        <v>54</v>
      </c>
      <c r="S179" s="93">
        <v>60</v>
      </c>
      <c r="T179" s="29">
        <v>64</v>
      </c>
      <c r="U179" s="29">
        <f t="shared" si="38"/>
        <v>3840</v>
      </c>
      <c r="V179" s="29">
        <f t="shared" si="37"/>
        <v>4300.8</v>
      </c>
      <c r="W179" s="25"/>
      <c r="X179" s="25">
        <v>2018</v>
      </c>
      <c r="Y179" s="62"/>
      <c r="Z179" s="102"/>
      <c r="AA179" s="102"/>
      <c r="AB179" s="10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52.8">
      <c r="A180" s="3"/>
      <c r="B180" s="20" t="s">
        <v>511</v>
      </c>
      <c r="C180" s="20" t="s">
        <v>36</v>
      </c>
      <c r="D180" s="28" t="s">
        <v>265</v>
      </c>
      <c r="E180" s="20" t="s">
        <v>111</v>
      </c>
      <c r="F180" s="20" t="s">
        <v>266</v>
      </c>
      <c r="G180" s="20"/>
      <c r="H180" s="20" t="s">
        <v>40</v>
      </c>
      <c r="I180" s="20">
        <v>0</v>
      </c>
      <c r="J180" s="22">
        <v>710000000</v>
      </c>
      <c r="K180" s="20" t="s">
        <v>41</v>
      </c>
      <c r="L180" s="20" t="s">
        <v>386</v>
      </c>
      <c r="M180" s="20" t="s">
        <v>42</v>
      </c>
      <c r="N180" s="20" t="s">
        <v>43</v>
      </c>
      <c r="O180" s="23" t="s">
        <v>301</v>
      </c>
      <c r="P180" s="20" t="s">
        <v>302</v>
      </c>
      <c r="Q180" s="20">
        <v>796</v>
      </c>
      <c r="R180" s="20" t="s">
        <v>54</v>
      </c>
      <c r="S180" s="93">
        <v>62</v>
      </c>
      <c r="T180" s="24">
        <v>674</v>
      </c>
      <c r="U180" s="24">
        <f t="shared" si="38"/>
        <v>41788</v>
      </c>
      <c r="V180" s="24">
        <f t="shared" si="37"/>
        <v>46802.559999999998</v>
      </c>
      <c r="W180" s="25"/>
      <c r="X180" s="25">
        <v>2018</v>
      </c>
      <c r="Y180" s="62"/>
      <c r="Z180" s="102"/>
      <c r="AA180" s="102"/>
      <c r="AB180" s="10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52.8">
      <c r="A181" s="3"/>
      <c r="B181" s="20" t="s">
        <v>513</v>
      </c>
      <c r="C181" s="20" t="s">
        <v>36</v>
      </c>
      <c r="D181" s="28" t="s">
        <v>268</v>
      </c>
      <c r="E181" s="20" t="s">
        <v>417</v>
      </c>
      <c r="F181" s="20" t="s">
        <v>418</v>
      </c>
      <c r="G181" s="20"/>
      <c r="H181" s="20" t="s">
        <v>40</v>
      </c>
      <c r="I181" s="20">
        <v>0</v>
      </c>
      <c r="J181" s="22">
        <v>710000000</v>
      </c>
      <c r="K181" s="20" t="s">
        <v>41</v>
      </c>
      <c r="L181" s="20" t="s">
        <v>386</v>
      </c>
      <c r="M181" s="20" t="s">
        <v>42</v>
      </c>
      <c r="N181" s="20" t="s">
        <v>43</v>
      </c>
      <c r="O181" s="23" t="s">
        <v>301</v>
      </c>
      <c r="P181" s="20" t="s">
        <v>302</v>
      </c>
      <c r="Q181" s="20">
        <v>796</v>
      </c>
      <c r="R181" s="20" t="s">
        <v>54</v>
      </c>
      <c r="S181" s="93">
        <v>3</v>
      </c>
      <c r="T181" s="24">
        <v>165</v>
      </c>
      <c r="U181" s="24">
        <f t="shared" si="38"/>
        <v>495</v>
      </c>
      <c r="V181" s="24">
        <f t="shared" si="37"/>
        <v>554.4</v>
      </c>
      <c r="W181" s="25"/>
      <c r="X181" s="25">
        <v>2018</v>
      </c>
      <c r="Y181" s="62"/>
      <c r="Z181" s="102"/>
      <c r="AA181" s="102"/>
      <c r="AB181" s="10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52.8">
      <c r="A182" s="3"/>
      <c r="B182" s="20" t="s">
        <v>517</v>
      </c>
      <c r="C182" s="20" t="s">
        <v>36</v>
      </c>
      <c r="D182" s="28" t="s">
        <v>420</v>
      </c>
      <c r="E182" s="20" t="s">
        <v>421</v>
      </c>
      <c r="F182" s="28" t="s">
        <v>838</v>
      </c>
      <c r="G182" s="20"/>
      <c r="H182" s="20" t="s">
        <v>40</v>
      </c>
      <c r="I182" s="20">
        <v>0</v>
      </c>
      <c r="J182" s="22">
        <v>710000000</v>
      </c>
      <c r="K182" s="20" t="s">
        <v>41</v>
      </c>
      <c r="L182" s="20" t="s">
        <v>386</v>
      </c>
      <c r="M182" s="20" t="s">
        <v>42</v>
      </c>
      <c r="N182" s="20" t="s">
        <v>43</v>
      </c>
      <c r="O182" s="23" t="s">
        <v>367</v>
      </c>
      <c r="P182" s="20" t="s">
        <v>302</v>
      </c>
      <c r="Q182" s="20">
        <v>796</v>
      </c>
      <c r="R182" s="20" t="s">
        <v>54</v>
      </c>
      <c r="S182" s="93">
        <v>10</v>
      </c>
      <c r="T182" s="24">
        <v>35714</v>
      </c>
      <c r="U182" s="24">
        <f t="shared" si="38"/>
        <v>357140</v>
      </c>
      <c r="V182" s="24">
        <f t="shared" si="37"/>
        <v>399996.8</v>
      </c>
      <c r="W182" s="25"/>
      <c r="X182" s="25">
        <v>2018</v>
      </c>
      <c r="Y182" s="62"/>
      <c r="Z182" s="102"/>
      <c r="AA182" s="102"/>
      <c r="AB182" s="10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52.8">
      <c r="A183" s="3"/>
      <c r="B183" s="20" t="s">
        <v>521</v>
      </c>
      <c r="C183" s="20" t="s">
        <v>36</v>
      </c>
      <c r="D183" s="28" t="s">
        <v>276</v>
      </c>
      <c r="E183" s="20" t="s">
        <v>424</v>
      </c>
      <c r="F183" s="20" t="s">
        <v>425</v>
      </c>
      <c r="G183" s="20"/>
      <c r="H183" s="20" t="s">
        <v>40</v>
      </c>
      <c r="I183" s="20">
        <v>0</v>
      </c>
      <c r="J183" s="22">
        <v>710000000</v>
      </c>
      <c r="K183" s="20" t="s">
        <v>41</v>
      </c>
      <c r="L183" s="20" t="s">
        <v>386</v>
      </c>
      <c r="M183" s="20" t="s">
        <v>42</v>
      </c>
      <c r="N183" s="20" t="s">
        <v>43</v>
      </c>
      <c r="O183" s="23" t="s">
        <v>367</v>
      </c>
      <c r="P183" s="20" t="s">
        <v>302</v>
      </c>
      <c r="Q183" s="20">
        <v>796</v>
      </c>
      <c r="R183" s="20" t="s">
        <v>54</v>
      </c>
      <c r="S183" s="93">
        <v>9</v>
      </c>
      <c r="T183" s="24">
        <v>31250</v>
      </c>
      <c r="U183" s="24">
        <f t="shared" si="38"/>
        <v>281250</v>
      </c>
      <c r="V183" s="24">
        <f t="shared" si="37"/>
        <v>315000</v>
      </c>
      <c r="W183" s="25"/>
      <c r="X183" s="25">
        <v>2018</v>
      </c>
      <c r="Y183" s="62"/>
      <c r="Z183" s="102"/>
      <c r="AA183" s="102"/>
      <c r="AB183" s="10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52.8">
      <c r="A184" s="3"/>
      <c r="B184" s="20" t="s">
        <v>525</v>
      </c>
      <c r="C184" s="20" t="s">
        <v>36</v>
      </c>
      <c r="D184" s="28" t="s">
        <v>279</v>
      </c>
      <c r="E184" s="20" t="s">
        <v>280</v>
      </c>
      <c r="F184" s="28" t="s">
        <v>427</v>
      </c>
      <c r="G184" s="20"/>
      <c r="H184" s="20" t="s">
        <v>40</v>
      </c>
      <c r="I184" s="20">
        <v>0</v>
      </c>
      <c r="J184" s="22">
        <v>710000000</v>
      </c>
      <c r="K184" s="20" t="s">
        <v>41</v>
      </c>
      <c r="L184" s="20" t="s">
        <v>670</v>
      </c>
      <c r="M184" s="20" t="s">
        <v>42</v>
      </c>
      <c r="N184" s="20" t="s">
        <v>43</v>
      </c>
      <c r="O184" s="23" t="s">
        <v>367</v>
      </c>
      <c r="P184" s="20" t="s">
        <v>302</v>
      </c>
      <c r="Q184" s="20">
        <v>796</v>
      </c>
      <c r="R184" s="20" t="s">
        <v>54</v>
      </c>
      <c r="S184" s="93">
        <v>31</v>
      </c>
      <c r="T184" s="24">
        <v>6964</v>
      </c>
      <c r="U184" s="24">
        <f t="shared" si="38"/>
        <v>215884</v>
      </c>
      <c r="V184" s="24">
        <f t="shared" si="37"/>
        <v>241790.07999999999</v>
      </c>
      <c r="W184" s="25"/>
      <c r="X184" s="25">
        <v>2018</v>
      </c>
      <c r="Y184" s="62"/>
      <c r="Z184" s="102"/>
      <c r="AA184" s="102"/>
      <c r="AB184" s="10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52.8">
      <c r="A185" s="3"/>
      <c r="B185" s="20" t="s">
        <v>526</v>
      </c>
      <c r="C185" s="20" t="s">
        <v>36</v>
      </c>
      <c r="D185" s="28" t="s">
        <v>429</v>
      </c>
      <c r="E185" s="20" t="s">
        <v>284</v>
      </c>
      <c r="F185" s="28" t="s">
        <v>430</v>
      </c>
      <c r="G185" s="20"/>
      <c r="H185" s="20" t="s">
        <v>40</v>
      </c>
      <c r="I185" s="20">
        <v>0</v>
      </c>
      <c r="J185" s="22">
        <v>710000000</v>
      </c>
      <c r="K185" s="20" t="s">
        <v>41</v>
      </c>
      <c r="L185" s="20" t="s">
        <v>386</v>
      </c>
      <c r="M185" s="20" t="s">
        <v>42</v>
      </c>
      <c r="N185" s="20" t="s">
        <v>43</v>
      </c>
      <c r="O185" s="23" t="s">
        <v>367</v>
      </c>
      <c r="P185" s="20" t="s">
        <v>302</v>
      </c>
      <c r="Q185" s="20">
        <v>796</v>
      </c>
      <c r="R185" s="20" t="s">
        <v>54</v>
      </c>
      <c r="S185" s="93">
        <v>840</v>
      </c>
      <c r="T185" s="24">
        <v>267</v>
      </c>
      <c r="U185" s="24">
        <f t="shared" si="38"/>
        <v>224280</v>
      </c>
      <c r="V185" s="24">
        <f t="shared" si="37"/>
        <v>251193.60000000001</v>
      </c>
      <c r="W185" s="25"/>
      <c r="X185" s="25">
        <v>2018</v>
      </c>
      <c r="Y185" s="62"/>
      <c r="Z185" s="102"/>
      <c r="AA185" s="102"/>
      <c r="AB185" s="10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52.8">
      <c r="A186" s="3"/>
      <c r="B186" s="20" t="s">
        <v>530</v>
      </c>
      <c r="C186" s="20" t="s">
        <v>36</v>
      </c>
      <c r="D186" s="28" t="s">
        <v>287</v>
      </c>
      <c r="E186" s="20" t="s">
        <v>288</v>
      </c>
      <c r="F186" s="28" t="s">
        <v>432</v>
      </c>
      <c r="G186" s="20"/>
      <c r="H186" s="20" t="s">
        <v>40</v>
      </c>
      <c r="I186" s="20">
        <v>0</v>
      </c>
      <c r="J186" s="22">
        <v>710000000</v>
      </c>
      <c r="K186" s="20" t="s">
        <v>41</v>
      </c>
      <c r="L186" s="20" t="s">
        <v>670</v>
      </c>
      <c r="M186" s="20" t="s">
        <v>42</v>
      </c>
      <c r="N186" s="20" t="s">
        <v>43</v>
      </c>
      <c r="O186" s="23" t="s">
        <v>367</v>
      </c>
      <c r="P186" s="20" t="s">
        <v>302</v>
      </c>
      <c r="Q186" s="20">
        <v>796</v>
      </c>
      <c r="R186" s="20" t="s">
        <v>54</v>
      </c>
      <c r="S186" s="93">
        <v>10</v>
      </c>
      <c r="T186" s="24">
        <v>3392</v>
      </c>
      <c r="U186" s="24">
        <f t="shared" si="38"/>
        <v>33920</v>
      </c>
      <c r="V186" s="24">
        <f t="shared" si="37"/>
        <v>37990.400000000001</v>
      </c>
      <c r="W186" s="25"/>
      <c r="X186" s="25">
        <v>2018</v>
      </c>
      <c r="Y186" s="62"/>
      <c r="Z186" s="102"/>
      <c r="AA186" s="102"/>
      <c r="AB186" s="10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52.8">
      <c r="A187" s="3"/>
      <c r="B187" s="20" t="s">
        <v>532</v>
      </c>
      <c r="C187" s="20" t="s">
        <v>36</v>
      </c>
      <c r="D187" s="28" t="s">
        <v>291</v>
      </c>
      <c r="E187" s="20" t="s">
        <v>434</v>
      </c>
      <c r="F187" s="28" t="s">
        <v>435</v>
      </c>
      <c r="G187" s="20"/>
      <c r="H187" s="20" t="s">
        <v>40</v>
      </c>
      <c r="I187" s="20">
        <v>0</v>
      </c>
      <c r="J187" s="22">
        <v>710000000</v>
      </c>
      <c r="K187" s="20" t="s">
        <v>41</v>
      </c>
      <c r="L187" s="20" t="s">
        <v>670</v>
      </c>
      <c r="M187" s="20" t="s">
        <v>42</v>
      </c>
      <c r="N187" s="20" t="s">
        <v>43</v>
      </c>
      <c r="O187" s="23" t="s">
        <v>367</v>
      </c>
      <c r="P187" s="20" t="s">
        <v>302</v>
      </c>
      <c r="Q187" s="20">
        <v>796</v>
      </c>
      <c r="R187" s="20" t="s">
        <v>54</v>
      </c>
      <c r="S187" s="93">
        <v>10</v>
      </c>
      <c r="T187" s="24">
        <v>2232</v>
      </c>
      <c r="U187" s="24">
        <f t="shared" si="38"/>
        <v>22320</v>
      </c>
      <c r="V187" s="24">
        <f t="shared" si="37"/>
        <v>24998.400000000001</v>
      </c>
      <c r="W187" s="25"/>
      <c r="X187" s="25">
        <v>2018</v>
      </c>
      <c r="Y187" s="62"/>
      <c r="Z187" s="102"/>
      <c r="AA187" s="102"/>
      <c r="AB187" s="10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52.8">
      <c r="A188" s="3"/>
      <c r="B188" s="20" t="s">
        <v>534</v>
      </c>
      <c r="C188" s="20" t="s">
        <v>36</v>
      </c>
      <c r="D188" s="28" t="s">
        <v>437</v>
      </c>
      <c r="E188" s="20" t="s">
        <v>438</v>
      </c>
      <c r="F188" s="28" t="s">
        <v>439</v>
      </c>
      <c r="G188" s="28"/>
      <c r="H188" s="20" t="s">
        <v>40</v>
      </c>
      <c r="I188" s="20">
        <v>0</v>
      </c>
      <c r="J188" s="22">
        <v>710000000</v>
      </c>
      <c r="K188" s="20" t="s">
        <v>41</v>
      </c>
      <c r="L188" s="20" t="s">
        <v>386</v>
      </c>
      <c r="M188" s="20" t="s">
        <v>42</v>
      </c>
      <c r="N188" s="20" t="s">
        <v>43</v>
      </c>
      <c r="O188" s="23" t="s">
        <v>367</v>
      </c>
      <c r="P188" s="20" t="s">
        <v>302</v>
      </c>
      <c r="Q188" s="20">
        <v>796</v>
      </c>
      <c r="R188" s="20" t="s">
        <v>54</v>
      </c>
      <c r="S188" s="93">
        <v>3</v>
      </c>
      <c r="T188" s="24">
        <v>31250</v>
      </c>
      <c r="U188" s="24">
        <f t="shared" si="38"/>
        <v>93750</v>
      </c>
      <c r="V188" s="24">
        <f>U188+(U188*12%)</f>
        <v>105000</v>
      </c>
      <c r="W188" s="25"/>
      <c r="X188" s="25">
        <v>2018</v>
      </c>
      <c r="Y188" s="62"/>
      <c r="Z188" s="102"/>
      <c r="AA188" s="102"/>
      <c r="AB188" s="10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66">
      <c r="A189" s="3"/>
      <c r="B189" s="20" t="s">
        <v>536</v>
      </c>
      <c r="C189" s="31" t="s">
        <v>36</v>
      </c>
      <c r="D189" s="28" t="s">
        <v>295</v>
      </c>
      <c r="E189" s="20" t="s">
        <v>296</v>
      </c>
      <c r="F189" s="28" t="s">
        <v>441</v>
      </c>
      <c r="G189" s="28"/>
      <c r="H189" s="20" t="s">
        <v>442</v>
      </c>
      <c r="I189" s="20">
        <v>0</v>
      </c>
      <c r="J189" s="22">
        <v>710000000</v>
      </c>
      <c r="K189" s="20" t="s">
        <v>41</v>
      </c>
      <c r="L189" s="20" t="s">
        <v>386</v>
      </c>
      <c r="M189" s="20" t="s">
        <v>42</v>
      </c>
      <c r="N189" s="20" t="s">
        <v>43</v>
      </c>
      <c r="O189" s="23" t="s">
        <v>443</v>
      </c>
      <c r="P189" s="20" t="s">
        <v>302</v>
      </c>
      <c r="Q189" s="20">
        <v>796</v>
      </c>
      <c r="R189" s="20" t="s">
        <v>54</v>
      </c>
      <c r="S189" s="93">
        <v>15</v>
      </c>
      <c r="T189" s="24">
        <v>361607</v>
      </c>
      <c r="U189" s="24">
        <f t="shared" si="38"/>
        <v>5424105</v>
      </c>
      <c r="V189" s="24">
        <f t="shared" si="37"/>
        <v>6074997.5999999996</v>
      </c>
      <c r="W189" s="25"/>
      <c r="X189" s="25">
        <v>2018</v>
      </c>
      <c r="Y189" s="62"/>
      <c r="Z189" s="102"/>
      <c r="AA189" s="102"/>
      <c r="AB189" s="10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66">
      <c r="A190" s="3"/>
      <c r="B190" s="20" t="s">
        <v>539</v>
      </c>
      <c r="C190" s="28" t="s">
        <v>36</v>
      </c>
      <c r="D190" s="28" t="s">
        <v>295</v>
      </c>
      <c r="E190" s="28" t="s">
        <v>296</v>
      </c>
      <c r="F190" s="28" t="s">
        <v>445</v>
      </c>
      <c r="G190" s="40"/>
      <c r="H190" s="28" t="s">
        <v>442</v>
      </c>
      <c r="I190" s="28">
        <v>0</v>
      </c>
      <c r="J190" s="22">
        <v>710000000</v>
      </c>
      <c r="K190" s="28" t="s">
        <v>41</v>
      </c>
      <c r="L190" s="28" t="s">
        <v>386</v>
      </c>
      <c r="M190" s="28" t="s">
        <v>42</v>
      </c>
      <c r="N190" s="28" t="s">
        <v>43</v>
      </c>
      <c r="O190" s="23" t="s">
        <v>443</v>
      </c>
      <c r="P190" s="20" t="s">
        <v>302</v>
      </c>
      <c r="Q190" s="28">
        <v>796</v>
      </c>
      <c r="R190" s="28" t="s">
        <v>54</v>
      </c>
      <c r="S190" s="94">
        <v>9</v>
      </c>
      <c r="T190" s="29">
        <v>319642</v>
      </c>
      <c r="U190" s="29">
        <f t="shared" si="38"/>
        <v>2876778</v>
      </c>
      <c r="V190" s="29">
        <f t="shared" si="37"/>
        <v>3221991.36</v>
      </c>
      <c r="W190" s="30"/>
      <c r="X190" s="30">
        <v>2018</v>
      </c>
      <c r="Y190" s="62"/>
      <c r="Z190" s="102"/>
      <c r="AA190" s="102"/>
      <c r="AB190" s="10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52.8">
      <c r="A191" s="3"/>
      <c r="B191" s="20" t="s">
        <v>543</v>
      </c>
      <c r="C191" s="20" t="s">
        <v>36</v>
      </c>
      <c r="D191" s="28" t="s">
        <v>447</v>
      </c>
      <c r="E191" s="20" t="s">
        <v>448</v>
      </c>
      <c r="F191" s="28" t="s">
        <v>849</v>
      </c>
      <c r="G191" s="20"/>
      <c r="H191" s="28" t="s">
        <v>593</v>
      </c>
      <c r="I191" s="20">
        <v>0</v>
      </c>
      <c r="J191" s="22">
        <v>710000000</v>
      </c>
      <c r="K191" s="20" t="s">
        <v>41</v>
      </c>
      <c r="L191" s="20" t="s">
        <v>300</v>
      </c>
      <c r="M191" s="20" t="s">
        <v>42</v>
      </c>
      <c r="N191" s="20" t="s">
        <v>43</v>
      </c>
      <c r="O191" s="23" t="s">
        <v>443</v>
      </c>
      <c r="P191" s="20" t="s">
        <v>302</v>
      </c>
      <c r="Q191" s="20">
        <v>796</v>
      </c>
      <c r="R191" s="20" t="s">
        <v>54</v>
      </c>
      <c r="S191" s="93">
        <v>9</v>
      </c>
      <c r="T191" s="24">
        <v>165178</v>
      </c>
      <c r="U191" s="24">
        <f t="shared" si="38"/>
        <v>1486602</v>
      </c>
      <c r="V191" s="24">
        <f t="shared" si="37"/>
        <v>1664994.24</v>
      </c>
      <c r="W191" s="25"/>
      <c r="X191" s="25">
        <v>2018</v>
      </c>
      <c r="Y191" s="62"/>
      <c r="Z191" s="102"/>
      <c r="AA191" s="102"/>
      <c r="AB191" s="10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52.8">
      <c r="A192" s="3"/>
      <c r="B192" s="20" t="s">
        <v>547</v>
      </c>
      <c r="C192" s="20" t="s">
        <v>36</v>
      </c>
      <c r="D192" s="28" t="s">
        <v>451</v>
      </c>
      <c r="E192" s="20" t="s">
        <v>452</v>
      </c>
      <c r="F192" s="28" t="s">
        <v>453</v>
      </c>
      <c r="G192" s="28"/>
      <c r="H192" s="28" t="s">
        <v>593</v>
      </c>
      <c r="I192" s="20">
        <v>0</v>
      </c>
      <c r="J192" s="22">
        <v>710000000</v>
      </c>
      <c r="K192" s="20" t="s">
        <v>41</v>
      </c>
      <c r="L192" s="20" t="s">
        <v>300</v>
      </c>
      <c r="M192" s="20" t="s">
        <v>42</v>
      </c>
      <c r="N192" s="20" t="s">
        <v>43</v>
      </c>
      <c r="O192" s="23" t="s">
        <v>443</v>
      </c>
      <c r="P192" s="20" t="s">
        <v>302</v>
      </c>
      <c r="Q192" s="20">
        <v>796</v>
      </c>
      <c r="R192" s="20" t="s">
        <v>54</v>
      </c>
      <c r="S192" s="93">
        <v>9</v>
      </c>
      <c r="T192" s="24">
        <v>55357</v>
      </c>
      <c r="U192" s="24">
        <f t="shared" si="38"/>
        <v>498213</v>
      </c>
      <c r="V192" s="24">
        <f t="shared" si="37"/>
        <v>557998.56000000006</v>
      </c>
      <c r="W192" s="25"/>
      <c r="X192" s="25">
        <v>2018</v>
      </c>
      <c r="Y192" s="62"/>
      <c r="Z192" s="102"/>
      <c r="AA192" s="102"/>
      <c r="AB192" s="10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52.8">
      <c r="A193" s="3"/>
      <c r="B193" s="20" t="s">
        <v>549</v>
      </c>
      <c r="C193" s="20" t="s">
        <v>36</v>
      </c>
      <c r="D193" s="28" t="s">
        <v>447</v>
      </c>
      <c r="E193" s="20" t="s">
        <v>448</v>
      </c>
      <c r="F193" s="28" t="s">
        <v>850</v>
      </c>
      <c r="G193" s="28"/>
      <c r="H193" s="28" t="s">
        <v>593</v>
      </c>
      <c r="I193" s="20">
        <v>0</v>
      </c>
      <c r="J193" s="22">
        <v>710000000</v>
      </c>
      <c r="K193" s="20" t="s">
        <v>41</v>
      </c>
      <c r="L193" s="20" t="s">
        <v>300</v>
      </c>
      <c r="M193" s="20" t="s">
        <v>42</v>
      </c>
      <c r="N193" s="20" t="s">
        <v>43</v>
      </c>
      <c r="O193" s="23" t="s">
        <v>443</v>
      </c>
      <c r="P193" s="20" t="s">
        <v>302</v>
      </c>
      <c r="Q193" s="20">
        <v>796</v>
      </c>
      <c r="R193" s="20" t="s">
        <v>54</v>
      </c>
      <c r="S193" s="93">
        <v>2</v>
      </c>
      <c r="T193" s="24">
        <v>196428</v>
      </c>
      <c r="U193" s="24">
        <f t="shared" si="38"/>
        <v>392856</v>
      </c>
      <c r="V193" s="24">
        <f t="shared" si="37"/>
        <v>439998.71999999997</v>
      </c>
      <c r="W193" s="25"/>
      <c r="X193" s="25">
        <v>2018</v>
      </c>
      <c r="Y193" s="62"/>
      <c r="Z193" s="102"/>
      <c r="AA193" s="102"/>
      <c r="AB193" s="10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66">
      <c r="A194" s="3"/>
      <c r="B194" s="20" t="s">
        <v>552</v>
      </c>
      <c r="C194" s="20" t="s">
        <v>36</v>
      </c>
      <c r="D194" s="28" t="s">
        <v>457</v>
      </c>
      <c r="E194" s="20" t="s">
        <v>458</v>
      </c>
      <c r="F194" s="28" t="s">
        <v>459</v>
      </c>
      <c r="G194" s="28"/>
      <c r="H194" s="28" t="s">
        <v>442</v>
      </c>
      <c r="I194" s="20">
        <v>0</v>
      </c>
      <c r="J194" s="22">
        <v>710000000</v>
      </c>
      <c r="K194" s="20" t="s">
        <v>41</v>
      </c>
      <c r="L194" s="20" t="s">
        <v>386</v>
      </c>
      <c r="M194" s="20" t="s">
        <v>42</v>
      </c>
      <c r="N194" s="20" t="s">
        <v>43</v>
      </c>
      <c r="O194" s="23" t="s">
        <v>443</v>
      </c>
      <c r="P194" s="20" t="s">
        <v>302</v>
      </c>
      <c r="Q194" s="20">
        <v>796</v>
      </c>
      <c r="R194" s="20" t="s">
        <v>54</v>
      </c>
      <c r="S194" s="93">
        <v>3</v>
      </c>
      <c r="T194" s="24">
        <v>357142</v>
      </c>
      <c r="U194" s="24">
        <f t="shared" si="38"/>
        <v>1071426</v>
      </c>
      <c r="V194" s="24">
        <f t="shared" si="37"/>
        <v>1199997.1200000001</v>
      </c>
      <c r="W194" s="25"/>
      <c r="X194" s="25">
        <v>2018</v>
      </c>
      <c r="Y194" s="62"/>
      <c r="Z194" s="102"/>
      <c r="AA194" s="102"/>
      <c r="AB194" s="10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52.8">
      <c r="A195" s="3"/>
      <c r="B195" s="20" t="s">
        <v>555</v>
      </c>
      <c r="C195" s="20" t="s">
        <v>36</v>
      </c>
      <c r="D195" s="28" t="s">
        <v>461</v>
      </c>
      <c r="E195" s="20" t="s">
        <v>462</v>
      </c>
      <c r="F195" s="28" t="s">
        <v>463</v>
      </c>
      <c r="G195" s="28"/>
      <c r="H195" s="20" t="s">
        <v>40</v>
      </c>
      <c r="I195" s="20">
        <v>0</v>
      </c>
      <c r="J195" s="22">
        <v>710000000</v>
      </c>
      <c r="K195" s="20" t="s">
        <v>41</v>
      </c>
      <c r="L195" s="20" t="s">
        <v>300</v>
      </c>
      <c r="M195" s="20" t="s">
        <v>42</v>
      </c>
      <c r="N195" s="20" t="s">
        <v>43</v>
      </c>
      <c r="O195" s="23" t="s">
        <v>443</v>
      </c>
      <c r="P195" s="20" t="s">
        <v>302</v>
      </c>
      <c r="Q195" s="20">
        <v>796</v>
      </c>
      <c r="R195" s="20" t="s">
        <v>54</v>
      </c>
      <c r="S195" s="93">
        <v>3</v>
      </c>
      <c r="T195" s="24">
        <v>7142</v>
      </c>
      <c r="U195" s="24">
        <f t="shared" si="38"/>
        <v>21426</v>
      </c>
      <c r="V195" s="24">
        <f>U195+(U195*12%)</f>
        <v>23997.119999999999</v>
      </c>
      <c r="W195" s="25"/>
      <c r="X195" s="25">
        <v>2018</v>
      </c>
      <c r="Y195" s="62"/>
      <c r="Z195" s="102"/>
      <c r="AA195" s="102"/>
      <c r="AB195" s="10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52.8">
      <c r="A196" s="3"/>
      <c r="B196" s="20" t="s">
        <v>558</v>
      </c>
      <c r="C196" s="20" t="s">
        <v>36</v>
      </c>
      <c r="D196" s="28" t="s">
        <v>465</v>
      </c>
      <c r="E196" s="20" t="s">
        <v>466</v>
      </c>
      <c r="F196" s="28" t="s">
        <v>467</v>
      </c>
      <c r="G196" s="28"/>
      <c r="H196" s="28" t="s">
        <v>40</v>
      </c>
      <c r="I196" s="20">
        <v>0</v>
      </c>
      <c r="J196" s="22">
        <v>710000000</v>
      </c>
      <c r="K196" s="20" t="s">
        <v>41</v>
      </c>
      <c r="L196" s="20" t="s">
        <v>670</v>
      </c>
      <c r="M196" s="20" t="s">
        <v>42</v>
      </c>
      <c r="N196" s="20" t="s">
        <v>43</v>
      </c>
      <c r="O196" s="23" t="s">
        <v>443</v>
      </c>
      <c r="P196" s="20" t="s">
        <v>302</v>
      </c>
      <c r="Q196" s="20">
        <v>796</v>
      </c>
      <c r="R196" s="20" t="s">
        <v>54</v>
      </c>
      <c r="S196" s="93">
        <v>3</v>
      </c>
      <c r="T196" s="24">
        <v>21875</v>
      </c>
      <c r="U196" s="24">
        <f t="shared" si="38"/>
        <v>65625</v>
      </c>
      <c r="V196" s="24">
        <f>U196+(U196*12%)</f>
        <v>73500</v>
      </c>
      <c r="W196" s="25"/>
      <c r="X196" s="25">
        <v>2018</v>
      </c>
      <c r="Y196" s="62"/>
      <c r="Z196" s="102"/>
      <c r="AA196" s="102"/>
      <c r="AB196" s="10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52.8">
      <c r="A197" s="3"/>
      <c r="B197" s="20" t="s">
        <v>561</v>
      </c>
      <c r="C197" s="20" t="s">
        <v>36</v>
      </c>
      <c r="D197" s="28" t="s">
        <v>469</v>
      </c>
      <c r="E197" s="20" t="s">
        <v>831</v>
      </c>
      <c r="F197" s="28" t="s">
        <v>471</v>
      </c>
      <c r="G197" s="28"/>
      <c r="H197" s="28" t="s">
        <v>593</v>
      </c>
      <c r="I197" s="20">
        <v>0</v>
      </c>
      <c r="J197" s="22">
        <v>710000000</v>
      </c>
      <c r="K197" s="20" t="s">
        <v>41</v>
      </c>
      <c r="L197" s="20" t="s">
        <v>300</v>
      </c>
      <c r="M197" s="20" t="s">
        <v>42</v>
      </c>
      <c r="N197" s="20" t="s">
        <v>43</v>
      </c>
      <c r="O197" s="23" t="s">
        <v>443</v>
      </c>
      <c r="P197" s="20" t="s">
        <v>302</v>
      </c>
      <c r="Q197" s="20">
        <v>796</v>
      </c>
      <c r="R197" s="20" t="s">
        <v>54</v>
      </c>
      <c r="S197" s="93">
        <v>31</v>
      </c>
      <c r="T197" s="24">
        <v>51339</v>
      </c>
      <c r="U197" s="24">
        <f t="shared" si="38"/>
        <v>1591509</v>
      </c>
      <c r="V197" s="24">
        <f t="shared" si="37"/>
        <v>1782490.08</v>
      </c>
      <c r="W197" s="25"/>
      <c r="X197" s="25">
        <v>2018</v>
      </c>
      <c r="Y197" s="62"/>
      <c r="Z197" s="102"/>
      <c r="AA197" s="102"/>
      <c r="AB197" s="10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52.8">
      <c r="A198" s="3"/>
      <c r="B198" s="20" t="s">
        <v>565</v>
      </c>
      <c r="C198" s="20" t="s">
        <v>36</v>
      </c>
      <c r="D198" s="28" t="s">
        <v>447</v>
      </c>
      <c r="E198" s="20" t="s">
        <v>448</v>
      </c>
      <c r="F198" s="28" t="s">
        <v>850</v>
      </c>
      <c r="G198" s="28"/>
      <c r="H198" s="28" t="s">
        <v>593</v>
      </c>
      <c r="I198" s="20">
        <v>0</v>
      </c>
      <c r="J198" s="22">
        <v>710000000</v>
      </c>
      <c r="K198" s="20" t="s">
        <v>41</v>
      </c>
      <c r="L198" s="20" t="s">
        <v>300</v>
      </c>
      <c r="M198" s="20" t="s">
        <v>42</v>
      </c>
      <c r="N198" s="20" t="s">
        <v>43</v>
      </c>
      <c r="O198" s="23" t="s">
        <v>443</v>
      </c>
      <c r="P198" s="20" t="s">
        <v>302</v>
      </c>
      <c r="Q198" s="20">
        <v>796</v>
      </c>
      <c r="R198" s="20" t="s">
        <v>54</v>
      </c>
      <c r="S198" s="93">
        <v>1</v>
      </c>
      <c r="T198" s="24">
        <v>1562500</v>
      </c>
      <c r="U198" s="24">
        <f t="shared" si="38"/>
        <v>1562500</v>
      </c>
      <c r="V198" s="24">
        <f t="shared" si="37"/>
        <v>1750000</v>
      </c>
      <c r="W198" s="25"/>
      <c r="X198" s="25">
        <v>2018</v>
      </c>
      <c r="Y198" s="62"/>
      <c r="Z198" s="102"/>
      <c r="AA198" s="102"/>
      <c r="AB198" s="10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52.8">
      <c r="A199" s="3"/>
      <c r="B199" s="20" t="s">
        <v>567</v>
      </c>
      <c r="C199" s="28" t="s">
        <v>36</v>
      </c>
      <c r="D199" s="28" t="s">
        <v>475</v>
      </c>
      <c r="E199" s="28" t="s">
        <v>476</v>
      </c>
      <c r="F199" s="40" t="s">
        <v>477</v>
      </c>
      <c r="G199" s="28"/>
      <c r="H199" s="28" t="s">
        <v>442</v>
      </c>
      <c r="I199" s="28">
        <v>0</v>
      </c>
      <c r="J199" s="22">
        <v>710000000</v>
      </c>
      <c r="K199" s="28" t="s">
        <v>41</v>
      </c>
      <c r="L199" s="28" t="s">
        <v>386</v>
      </c>
      <c r="M199" s="28" t="s">
        <v>42</v>
      </c>
      <c r="N199" s="28" t="s">
        <v>43</v>
      </c>
      <c r="O199" s="23" t="s">
        <v>443</v>
      </c>
      <c r="P199" s="20" t="s">
        <v>302</v>
      </c>
      <c r="Q199" s="28">
        <v>796</v>
      </c>
      <c r="R199" s="28" t="s">
        <v>54</v>
      </c>
      <c r="S199" s="94">
        <v>1</v>
      </c>
      <c r="T199" s="29">
        <v>7110535</v>
      </c>
      <c r="U199" s="29">
        <f t="shared" si="38"/>
        <v>7110535</v>
      </c>
      <c r="V199" s="29">
        <f t="shared" si="37"/>
        <v>7963799.2000000002</v>
      </c>
      <c r="W199" s="30"/>
      <c r="X199" s="30">
        <v>2018</v>
      </c>
      <c r="Y199" s="62"/>
      <c r="Z199" s="102"/>
      <c r="AA199" s="102"/>
      <c r="AB199" s="10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52.8">
      <c r="A200" s="3"/>
      <c r="B200" s="20" t="s">
        <v>571</v>
      </c>
      <c r="C200" s="40" t="s">
        <v>36</v>
      </c>
      <c r="D200" s="40" t="s">
        <v>479</v>
      </c>
      <c r="E200" s="40" t="s">
        <v>480</v>
      </c>
      <c r="F200" s="40" t="s">
        <v>481</v>
      </c>
      <c r="G200" s="40"/>
      <c r="H200" s="20" t="s">
        <v>40</v>
      </c>
      <c r="I200" s="40">
        <v>0</v>
      </c>
      <c r="J200" s="41">
        <v>710000000</v>
      </c>
      <c r="K200" s="40" t="s">
        <v>41</v>
      </c>
      <c r="L200" s="40" t="s">
        <v>386</v>
      </c>
      <c r="M200" s="40" t="s">
        <v>42</v>
      </c>
      <c r="N200" s="40" t="s">
        <v>43</v>
      </c>
      <c r="O200" s="42" t="s">
        <v>443</v>
      </c>
      <c r="P200" s="20" t="s">
        <v>302</v>
      </c>
      <c r="Q200" s="40">
        <v>796</v>
      </c>
      <c r="R200" s="40" t="s">
        <v>54</v>
      </c>
      <c r="S200" s="96">
        <v>1</v>
      </c>
      <c r="T200" s="43">
        <v>848214</v>
      </c>
      <c r="U200" s="43">
        <f t="shared" si="38"/>
        <v>848214</v>
      </c>
      <c r="V200" s="43">
        <f>U200+(U200*12%)</f>
        <v>949999.67999999993</v>
      </c>
      <c r="W200" s="44"/>
      <c r="X200" s="44">
        <v>2018</v>
      </c>
      <c r="Y200" s="62"/>
      <c r="Z200" s="102"/>
      <c r="AA200" s="102"/>
      <c r="AB200" s="10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52.8">
      <c r="A201" s="3"/>
      <c r="B201" s="20" t="s">
        <v>575</v>
      </c>
      <c r="C201" s="20" t="s">
        <v>36</v>
      </c>
      <c r="D201" s="28" t="s">
        <v>465</v>
      </c>
      <c r="E201" s="20" t="s">
        <v>466</v>
      </c>
      <c r="F201" s="28" t="s">
        <v>483</v>
      </c>
      <c r="G201" s="20"/>
      <c r="H201" s="20" t="s">
        <v>40</v>
      </c>
      <c r="I201" s="20">
        <v>0</v>
      </c>
      <c r="J201" s="22">
        <v>710000000</v>
      </c>
      <c r="K201" s="20" t="s">
        <v>41</v>
      </c>
      <c r="L201" s="20" t="s">
        <v>300</v>
      </c>
      <c r="M201" s="20" t="s">
        <v>42</v>
      </c>
      <c r="N201" s="20" t="s">
        <v>43</v>
      </c>
      <c r="O201" s="23" t="s">
        <v>443</v>
      </c>
      <c r="P201" s="20" t="s">
        <v>302</v>
      </c>
      <c r="Q201" s="20">
        <v>796</v>
      </c>
      <c r="R201" s="20" t="s">
        <v>54</v>
      </c>
      <c r="S201" s="93">
        <v>1</v>
      </c>
      <c r="T201" s="24">
        <v>28571</v>
      </c>
      <c r="U201" s="24">
        <f t="shared" si="38"/>
        <v>28571</v>
      </c>
      <c r="V201" s="24">
        <f t="shared" ref="V201:V229" si="39">U201+(U201*12%)</f>
        <v>31999.52</v>
      </c>
      <c r="W201" s="25"/>
      <c r="X201" s="25">
        <v>2018</v>
      </c>
      <c r="Y201" s="62"/>
      <c r="Z201" s="102"/>
      <c r="AA201" s="102"/>
      <c r="AB201" s="10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52.8">
      <c r="A202" s="3"/>
      <c r="B202" s="20" t="s">
        <v>577</v>
      </c>
      <c r="C202" s="20" t="s">
        <v>36</v>
      </c>
      <c r="D202" s="20" t="s">
        <v>485</v>
      </c>
      <c r="E202" s="20" t="s">
        <v>486</v>
      </c>
      <c r="F202" s="45" t="s">
        <v>487</v>
      </c>
      <c r="G202" s="20"/>
      <c r="H202" s="20" t="s">
        <v>40</v>
      </c>
      <c r="I202" s="20">
        <v>0</v>
      </c>
      <c r="J202" s="22">
        <v>710000000</v>
      </c>
      <c r="K202" s="20" t="s">
        <v>41</v>
      </c>
      <c r="L202" s="20" t="s">
        <v>300</v>
      </c>
      <c r="M202" s="20" t="s">
        <v>42</v>
      </c>
      <c r="N202" s="20" t="s">
        <v>43</v>
      </c>
      <c r="O202" s="23" t="s">
        <v>443</v>
      </c>
      <c r="P202" s="20" t="s">
        <v>302</v>
      </c>
      <c r="Q202" s="20">
        <v>796</v>
      </c>
      <c r="R202" s="20" t="s">
        <v>54</v>
      </c>
      <c r="S202" s="93">
        <v>3</v>
      </c>
      <c r="T202" s="24">
        <v>12500</v>
      </c>
      <c r="U202" s="24">
        <f t="shared" si="38"/>
        <v>37500</v>
      </c>
      <c r="V202" s="24">
        <f t="shared" si="39"/>
        <v>42000</v>
      </c>
      <c r="W202" s="25"/>
      <c r="X202" s="25">
        <v>2018</v>
      </c>
      <c r="Y202" s="62"/>
      <c r="Z202" s="102"/>
      <c r="AA202" s="102"/>
      <c r="AB202" s="10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52.8">
      <c r="A203" s="3"/>
      <c r="B203" s="20" t="s">
        <v>581</v>
      </c>
      <c r="C203" s="28" t="s">
        <v>36</v>
      </c>
      <c r="D203" s="28" t="s">
        <v>489</v>
      </c>
      <c r="E203" s="28" t="s">
        <v>470</v>
      </c>
      <c r="F203" s="40" t="s">
        <v>490</v>
      </c>
      <c r="G203" s="40"/>
      <c r="H203" s="28" t="s">
        <v>593</v>
      </c>
      <c r="I203" s="28">
        <v>0</v>
      </c>
      <c r="J203" s="22">
        <v>710000000</v>
      </c>
      <c r="K203" s="28" t="s">
        <v>41</v>
      </c>
      <c r="L203" s="20" t="s">
        <v>386</v>
      </c>
      <c r="M203" s="28" t="s">
        <v>42</v>
      </c>
      <c r="N203" s="28" t="s">
        <v>43</v>
      </c>
      <c r="O203" s="23" t="s">
        <v>443</v>
      </c>
      <c r="P203" s="20" t="s">
        <v>302</v>
      </c>
      <c r="Q203" s="28">
        <v>796</v>
      </c>
      <c r="R203" s="28" t="s">
        <v>54</v>
      </c>
      <c r="S203" s="94">
        <v>31</v>
      </c>
      <c r="T203" s="24">
        <v>29489</v>
      </c>
      <c r="U203" s="29">
        <f t="shared" si="38"/>
        <v>914159</v>
      </c>
      <c r="V203" s="29">
        <f t="shared" si="39"/>
        <v>1023858.08</v>
      </c>
      <c r="W203" s="30"/>
      <c r="X203" s="30">
        <v>2018</v>
      </c>
      <c r="Y203" s="62"/>
      <c r="Z203" s="102"/>
      <c r="AA203" s="102"/>
      <c r="AB203" s="10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52.8">
      <c r="A204" s="3"/>
      <c r="B204" s="20" t="s">
        <v>585</v>
      </c>
      <c r="C204" s="28" t="s">
        <v>36</v>
      </c>
      <c r="D204" s="28" t="s">
        <v>492</v>
      </c>
      <c r="E204" s="28" t="s">
        <v>470</v>
      </c>
      <c r="F204" s="40" t="s">
        <v>490</v>
      </c>
      <c r="G204" s="40"/>
      <c r="H204" s="28" t="s">
        <v>593</v>
      </c>
      <c r="I204" s="28">
        <v>0</v>
      </c>
      <c r="J204" s="22">
        <v>710000000</v>
      </c>
      <c r="K204" s="28" t="s">
        <v>41</v>
      </c>
      <c r="L204" s="20" t="s">
        <v>386</v>
      </c>
      <c r="M204" s="28" t="s">
        <v>42</v>
      </c>
      <c r="N204" s="28" t="s">
        <v>43</v>
      </c>
      <c r="O204" s="23" t="s">
        <v>443</v>
      </c>
      <c r="P204" s="20" t="s">
        <v>302</v>
      </c>
      <c r="Q204" s="28">
        <v>796</v>
      </c>
      <c r="R204" s="28" t="s">
        <v>54</v>
      </c>
      <c r="S204" s="94">
        <v>1</v>
      </c>
      <c r="T204" s="24">
        <v>460714</v>
      </c>
      <c r="U204" s="29">
        <f t="shared" si="38"/>
        <v>460714</v>
      </c>
      <c r="V204" s="29">
        <f t="shared" si="39"/>
        <v>515999.68</v>
      </c>
      <c r="W204" s="30"/>
      <c r="X204" s="30">
        <v>2018</v>
      </c>
      <c r="Y204" s="62"/>
      <c r="Z204" s="102"/>
      <c r="AA204" s="102"/>
      <c r="AB204" s="10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52.8">
      <c r="A205" s="3"/>
      <c r="B205" s="20" t="s">
        <v>589</v>
      </c>
      <c r="C205" s="20" t="s">
        <v>36</v>
      </c>
      <c r="D205" s="28" t="s">
        <v>494</v>
      </c>
      <c r="E205" s="20" t="s">
        <v>495</v>
      </c>
      <c r="F205" s="28" t="s">
        <v>496</v>
      </c>
      <c r="G205" s="20"/>
      <c r="H205" s="20" t="s">
        <v>40</v>
      </c>
      <c r="I205" s="20">
        <v>0</v>
      </c>
      <c r="J205" s="22">
        <v>710000000</v>
      </c>
      <c r="K205" s="20" t="s">
        <v>41</v>
      </c>
      <c r="L205" s="20" t="s">
        <v>300</v>
      </c>
      <c r="M205" s="20" t="s">
        <v>42</v>
      </c>
      <c r="N205" s="20" t="s">
        <v>43</v>
      </c>
      <c r="O205" s="23" t="s">
        <v>824</v>
      </c>
      <c r="P205" s="20" t="s">
        <v>302</v>
      </c>
      <c r="Q205" s="20">
        <v>796</v>
      </c>
      <c r="R205" s="20" t="s">
        <v>54</v>
      </c>
      <c r="S205" s="93">
        <v>10</v>
      </c>
      <c r="T205" s="24">
        <v>70535</v>
      </c>
      <c r="U205" s="24">
        <f t="shared" si="38"/>
        <v>705350</v>
      </c>
      <c r="V205" s="24">
        <f t="shared" si="39"/>
        <v>789992</v>
      </c>
      <c r="W205" s="25"/>
      <c r="X205" s="25">
        <v>2018</v>
      </c>
      <c r="Y205" s="62"/>
      <c r="Z205" s="102"/>
      <c r="AA205" s="102"/>
      <c r="AB205" s="10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52.8">
      <c r="A206" s="3"/>
      <c r="B206" s="20" t="s">
        <v>594</v>
      </c>
      <c r="C206" s="20" t="s">
        <v>36</v>
      </c>
      <c r="D206" s="28" t="s">
        <v>498</v>
      </c>
      <c r="E206" s="20" t="s">
        <v>499</v>
      </c>
      <c r="F206" s="28" t="s">
        <v>832</v>
      </c>
      <c r="G206" s="20"/>
      <c r="H206" s="20" t="s">
        <v>40</v>
      </c>
      <c r="I206" s="20">
        <v>0</v>
      </c>
      <c r="J206" s="22">
        <v>710000000</v>
      </c>
      <c r="K206" s="20" t="s">
        <v>41</v>
      </c>
      <c r="L206" s="20" t="s">
        <v>300</v>
      </c>
      <c r="M206" s="20" t="s">
        <v>42</v>
      </c>
      <c r="N206" s="20" t="s">
        <v>43</v>
      </c>
      <c r="O206" s="23" t="s">
        <v>443</v>
      </c>
      <c r="P206" s="20" t="s">
        <v>302</v>
      </c>
      <c r="Q206" s="20">
        <v>796</v>
      </c>
      <c r="R206" s="20" t="s">
        <v>54</v>
      </c>
      <c r="S206" s="93">
        <v>1</v>
      </c>
      <c r="T206" s="24">
        <v>348214</v>
      </c>
      <c r="U206" s="24">
        <f t="shared" si="38"/>
        <v>348214</v>
      </c>
      <c r="V206" s="24">
        <f t="shared" si="39"/>
        <v>389999.68</v>
      </c>
      <c r="W206" s="25"/>
      <c r="X206" s="25">
        <v>2018</v>
      </c>
      <c r="Y206" s="62"/>
      <c r="Z206" s="102"/>
      <c r="AA206" s="102"/>
      <c r="AB206" s="10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52.8">
      <c r="A207" s="3"/>
      <c r="B207" s="20" t="s">
        <v>598</v>
      </c>
      <c r="C207" s="20" t="s">
        <v>36</v>
      </c>
      <c r="D207" s="28" t="s">
        <v>502</v>
      </c>
      <c r="E207" s="20" t="s">
        <v>503</v>
      </c>
      <c r="F207" s="20" t="s">
        <v>504</v>
      </c>
      <c r="G207" s="20"/>
      <c r="H207" s="20" t="s">
        <v>40</v>
      </c>
      <c r="I207" s="20">
        <v>0</v>
      </c>
      <c r="J207" s="22">
        <v>710000000</v>
      </c>
      <c r="K207" s="20" t="s">
        <v>41</v>
      </c>
      <c r="L207" s="20" t="s">
        <v>300</v>
      </c>
      <c r="M207" s="20" t="s">
        <v>42</v>
      </c>
      <c r="N207" s="20" t="s">
        <v>43</v>
      </c>
      <c r="O207" s="23" t="s">
        <v>443</v>
      </c>
      <c r="P207" s="20" t="s">
        <v>302</v>
      </c>
      <c r="Q207" s="20">
        <v>796</v>
      </c>
      <c r="R207" s="20" t="s">
        <v>54</v>
      </c>
      <c r="S207" s="93">
        <v>15</v>
      </c>
      <c r="T207" s="24">
        <v>31250</v>
      </c>
      <c r="U207" s="24">
        <f t="shared" si="38"/>
        <v>468750</v>
      </c>
      <c r="V207" s="24">
        <f t="shared" si="39"/>
        <v>525000</v>
      </c>
      <c r="W207" s="25"/>
      <c r="X207" s="25">
        <v>2018</v>
      </c>
      <c r="Y207" s="62"/>
      <c r="Z207" s="102"/>
      <c r="AA207" s="102"/>
      <c r="AB207" s="10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118.8">
      <c r="A208" s="3"/>
      <c r="B208" s="20" t="s">
        <v>600</v>
      </c>
      <c r="C208" s="28" t="s">
        <v>36</v>
      </c>
      <c r="D208" s="28" t="s">
        <v>506</v>
      </c>
      <c r="E208" s="28" t="s">
        <v>507</v>
      </c>
      <c r="F208" s="40" t="s">
        <v>805</v>
      </c>
      <c r="G208" s="40"/>
      <c r="H208" s="28" t="s">
        <v>442</v>
      </c>
      <c r="I208" s="28">
        <v>0</v>
      </c>
      <c r="J208" s="22">
        <v>710000000</v>
      </c>
      <c r="K208" s="28" t="s">
        <v>41</v>
      </c>
      <c r="L208" s="28" t="s">
        <v>386</v>
      </c>
      <c r="M208" s="28" t="s">
        <v>42</v>
      </c>
      <c r="N208" s="28" t="s">
        <v>43</v>
      </c>
      <c r="O208" s="23" t="s">
        <v>443</v>
      </c>
      <c r="P208" s="20" t="s">
        <v>825</v>
      </c>
      <c r="Q208" s="28">
        <v>839</v>
      </c>
      <c r="R208" s="28" t="s">
        <v>508</v>
      </c>
      <c r="S208" s="94">
        <v>1</v>
      </c>
      <c r="T208" s="24">
        <v>8928571</v>
      </c>
      <c r="U208" s="29">
        <f t="shared" si="38"/>
        <v>8928571</v>
      </c>
      <c r="V208" s="29">
        <f t="shared" si="39"/>
        <v>9999999.5199999996</v>
      </c>
      <c r="W208" s="30" t="s">
        <v>826</v>
      </c>
      <c r="X208" s="30">
        <v>2018</v>
      </c>
      <c r="Y208" s="62"/>
      <c r="Z208" s="102"/>
      <c r="AA208" s="102"/>
      <c r="AB208" s="10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52.8">
      <c r="A209" s="3"/>
      <c r="B209" s="20" t="s">
        <v>602</v>
      </c>
      <c r="C209" s="28" t="s">
        <v>36</v>
      </c>
      <c r="D209" s="28" t="s">
        <v>506</v>
      </c>
      <c r="E209" s="28" t="s">
        <v>507</v>
      </c>
      <c r="F209" s="40" t="s">
        <v>839</v>
      </c>
      <c r="G209" s="46"/>
      <c r="H209" s="28" t="s">
        <v>442</v>
      </c>
      <c r="I209" s="28">
        <v>0</v>
      </c>
      <c r="J209" s="22">
        <v>710000000</v>
      </c>
      <c r="K209" s="28" t="s">
        <v>41</v>
      </c>
      <c r="L209" s="28" t="s">
        <v>386</v>
      </c>
      <c r="M209" s="28" t="s">
        <v>42</v>
      </c>
      <c r="N209" s="28" t="s">
        <v>43</v>
      </c>
      <c r="O209" s="23" t="s">
        <v>443</v>
      </c>
      <c r="P209" s="20" t="s">
        <v>825</v>
      </c>
      <c r="Q209" s="28">
        <v>839</v>
      </c>
      <c r="R209" s="28" t="s">
        <v>508</v>
      </c>
      <c r="S209" s="94">
        <v>2</v>
      </c>
      <c r="T209" s="24">
        <v>1964285</v>
      </c>
      <c r="U209" s="29">
        <f t="shared" si="38"/>
        <v>3928570</v>
      </c>
      <c r="V209" s="29">
        <f t="shared" si="39"/>
        <v>4399998.4000000004</v>
      </c>
      <c r="W209" s="30" t="s">
        <v>826</v>
      </c>
      <c r="X209" s="30">
        <v>2018</v>
      </c>
      <c r="Y209" s="62"/>
      <c r="Z209" s="102"/>
      <c r="AA209" s="102"/>
      <c r="AB209" s="10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52.8">
      <c r="A210" s="3"/>
      <c r="B210" s="20" t="s">
        <v>766</v>
      </c>
      <c r="C210" s="28" t="s">
        <v>36</v>
      </c>
      <c r="D210" s="28" t="s">
        <v>506</v>
      </c>
      <c r="E210" s="28" t="s">
        <v>507</v>
      </c>
      <c r="F210" s="40" t="s">
        <v>807</v>
      </c>
      <c r="G210" s="40"/>
      <c r="H210" s="28" t="s">
        <v>442</v>
      </c>
      <c r="I210" s="28">
        <v>0</v>
      </c>
      <c r="J210" s="22">
        <v>710000000</v>
      </c>
      <c r="K210" s="28" t="s">
        <v>41</v>
      </c>
      <c r="L210" s="28" t="s">
        <v>386</v>
      </c>
      <c r="M210" s="28" t="s">
        <v>42</v>
      </c>
      <c r="N210" s="28" t="s">
        <v>43</v>
      </c>
      <c r="O210" s="23" t="s">
        <v>443</v>
      </c>
      <c r="P210" s="20" t="s">
        <v>825</v>
      </c>
      <c r="Q210" s="28">
        <v>839</v>
      </c>
      <c r="R210" s="28" t="s">
        <v>508</v>
      </c>
      <c r="S210" s="94">
        <v>1</v>
      </c>
      <c r="T210" s="24">
        <v>982142</v>
      </c>
      <c r="U210" s="29">
        <f t="shared" si="38"/>
        <v>982142</v>
      </c>
      <c r="V210" s="29">
        <f t="shared" si="39"/>
        <v>1099999.04</v>
      </c>
      <c r="W210" s="30" t="s">
        <v>826</v>
      </c>
      <c r="X210" s="30">
        <v>2018</v>
      </c>
      <c r="Y210" s="62"/>
      <c r="Z210" s="102"/>
      <c r="AA210" s="102"/>
      <c r="AB210" s="10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79.2">
      <c r="A211" s="3"/>
      <c r="B211" s="20" t="s">
        <v>767</v>
      </c>
      <c r="C211" s="28" t="s">
        <v>36</v>
      </c>
      <c r="D211" s="28" t="s">
        <v>506</v>
      </c>
      <c r="E211" s="28" t="s">
        <v>507</v>
      </c>
      <c r="F211" s="40" t="s">
        <v>840</v>
      </c>
      <c r="G211" s="47" t="s">
        <v>512</v>
      </c>
      <c r="H211" s="28" t="s">
        <v>442</v>
      </c>
      <c r="I211" s="28">
        <v>0</v>
      </c>
      <c r="J211" s="22">
        <v>710000000</v>
      </c>
      <c r="K211" s="28" t="s">
        <v>41</v>
      </c>
      <c r="L211" s="28" t="s">
        <v>386</v>
      </c>
      <c r="M211" s="28" t="s">
        <v>42</v>
      </c>
      <c r="N211" s="28" t="s">
        <v>43</v>
      </c>
      <c r="O211" s="23" t="s">
        <v>443</v>
      </c>
      <c r="P211" s="20" t="s">
        <v>825</v>
      </c>
      <c r="Q211" s="28">
        <v>839</v>
      </c>
      <c r="R211" s="28" t="s">
        <v>508</v>
      </c>
      <c r="S211" s="94">
        <v>5</v>
      </c>
      <c r="T211" s="24">
        <v>848214</v>
      </c>
      <c r="U211" s="29">
        <f t="shared" si="38"/>
        <v>4241070</v>
      </c>
      <c r="V211" s="29">
        <f t="shared" si="39"/>
        <v>4749998.4000000004</v>
      </c>
      <c r="W211" s="30" t="s">
        <v>826</v>
      </c>
      <c r="X211" s="30">
        <v>2018</v>
      </c>
      <c r="Y211" s="62"/>
      <c r="Z211" s="102"/>
      <c r="AA211" s="102"/>
      <c r="AB211" s="10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52.8">
      <c r="A212" s="3"/>
      <c r="B212" s="20" t="s">
        <v>768</v>
      </c>
      <c r="C212" s="20" t="s">
        <v>36</v>
      </c>
      <c r="D212" s="28" t="s">
        <v>514</v>
      </c>
      <c r="E212" s="20" t="s">
        <v>515</v>
      </c>
      <c r="F212" s="20" t="s">
        <v>516</v>
      </c>
      <c r="G212" s="48"/>
      <c r="H212" s="20" t="s">
        <v>442</v>
      </c>
      <c r="I212" s="20">
        <v>0</v>
      </c>
      <c r="J212" s="22">
        <v>710000000</v>
      </c>
      <c r="K212" s="20" t="s">
        <v>41</v>
      </c>
      <c r="L212" s="20" t="s">
        <v>386</v>
      </c>
      <c r="M212" s="20" t="s">
        <v>42</v>
      </c>
      <c r="N212" s="20" t="s">
        <v>43</v>
      </c>
      <c r="O212" s="23" t="s">
        <v>443</v>
      </c>
      <c r="P212" s="20" t="s">
        <v>825</v>
      </c>
      <c r="Q212" s="20">
        <v>796</v>
      </c>
      <c r="R212" s="20" t="s">
        <v>54</v>
      </c>
      <c r="S212" s="93">
        <v>3</v>
      </c>
      <c r="T212" s="24">
        <v>225892</v>
      </c>
      <c r="U212" s="24">
        <f t="shared" si="38"/>
        <v>677676</v>
      </c>
      <c r="V212" s="24">
        <f t="shared" si="39"/>
        <v>758997.12</v>
      </c>
      <c r="W212" s="30" t="s">
        <v>826</v>
      </c>
      <c r="X212" s="25">
        <v>2018</v>
      </c>
      <c r="Y212" s="62"/>
      <c r="Z212" s="102"/>
      <c r="AA212" s="102"/>
      <c r="AB212" s="10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52.8">
      <c r="A213" s="3"/>
      <c r="B213" s="20" t="s">
        <v>769</v>
      </c>
      <c r="C213" s="20" t="s">
        <v>36</v>
      </c>
      <c r="D213" s="28" t="s">
        <v>518</v>
      </c>
      <c r="E213" s="20" t="s">
        <v>519</v>
      </c>
      <c r="F213" s="20" t="s">
        <v>520</v>
      </c>
      <c r="G213" s="48"/>
      <c r="H213" s="20" t="s">
        <v>442</v>
      </c>
      <c r="I213" s="20">
        <v>0</v>
      </c>
      <c r="J213" s="22">
        <v>710000000</v>
      </c>
      <c r="K213" s="20" t="s">
        <v>41</v>
      </c>
      <c r="L213" s="20" t="s">
        <v>386</v>
      </c>
      <c r="M213" s="20" t="s">
        <v>42</v>
      </c>
      <c r="N213" s="20" t="s">
        <v>43</v>
      </c>
      <c r="O213" s="23" t="s">
        <v>443</v>
      </c>
      <c r="P213" s="20" t="s">
        <v>825</v>
      </c>
      <c r="Q213" s="20">
        <v>796</v>
      </c>
      <c r="R213" s="20" t="s">
        <v>54</v>
      </c>
      <c r="S213" s="93">
        <v>1</v>
      </c>
      <c r="T213" s="24">
        <v>35714</v>
      </c>
      <c r="U213" s="24">
        <f t="shared" si="38"/>
        <v>35714</v>
      </c>
      <c r="V213" s="24">
        <f t="shared" si="39"/>
        <v>39999.68</v>
      </c>
      <c r="W213" s="30" t="s">
        <v>826</v>
      </c>
      <c r="X213" s="25">
        <v>2018</v>
      </c>
      <c r="Y213" s="62"/>
      <c r="Z213" s="102"/>
      <c r="AA213" s="102"/>
      <c r="AB213" s="10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52.8">
      <c r="A214" s="3"/>
      <c r="B214" s="20" t="s">
        <v>770</v>
      </c>
      <c r="C214" s="20" t="s">
        <v>36</v>
      </c>
      <c r="D214" s="28" t="s">
        <v>522</v>
      </c>
      <c r="E214" s="20" t="s">
        <v>523</v>
      </c>
      <c r="F214" s="20" t="s">
        <v>524</v>
      </c>
      <c r="G214" s="20"/>
      <c r="H214" s="20" t="s">
        <v>40</v>
      </c>
      <c r="I214" s="20">
        <v>0</v>
      </c>
      <c r="J214" s="22">
        <v>710000000</v>
      </c>
      <c r="K214" s="20" t="s">
        <v>41</v>
      </c>
      <c r="L214" s="20" t="s">
        <v>386</v>
      </c>
      <c r="M214" s="20" t="s">
        <v>42</v>
      </c>
      <c r="N214" s="20" t="s">
        <v>43</v>
      </c>
      <c r="O214" s="23" t="s">
        <v>443</v>
      </c>
      <c r="P214" s="20" t="s">
        <v>302</v>
      </c>
      <c r="Q214" s="20">
        <v>796</v>
      </c>
      <c r="R214" s="20" t="s">
        <v>54</v>
      </c>
      <c r="S214" s="93">
        <v>3</v>
      </c>
      <c r="T214" s="24">
        <v>178571</v>
      </c>
      <c r="U214" s="24">
        <f t="shared" si="38"/>
        <v>535713</v>
      </c>
      <c r="V214" s="24">
        <f t="shared" si="39"/>
        <v>599998.56000000006</v>
      </c>
      <c r="W214" s="25"/>
      <c r="X214" s="25">
        <v>2018</v>
      </c>
      <c r="Y214" s="62"/>
      <c r="Z214" s="102"/>
      <c r="AA214" s="102"/>
      <c r="AB214" s="10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52.8">
      <c r="A215" s="3"/>
      <c r="B215" s="20" t="s">
        <v>771</v>
      </c>
      <c r="C215" s="20" t="s">
        <v>36</v>
      </c>
      <c r="D215" s="28" t="s">
        <v>522</v>
      </c>
      <c r="E215" s="20" t="s">
        <v>523</v>
      </c>
      <c r="F215" s="20" t="s">
        <v>524</v>
      </c>
      <c r="G215" s="20"/>
      <c r="H215" s="20" t="s">
        <v>40</v>
      </c>
      <c r="I215" s="20">
        <v>0</v>
      </c>
      <c r="J215" s="22">
        <v>710000000</v>
      </c>
      <c r="K215" s="20" t="s">
        <v>41</v>
      </c>
      <c r="L215" s="20" t="s">
        <v>386</v>
      </c>
      <c r="M215" s="20" t="s">
        <v>42</v>
      </c>
      <c r="N215" s="20" t="s">
        <v>43</v>
      </c>
      <c r="O215" s="23" t="s">
        <v>443</v>
      </c>
      <c r="P215" s="20" t="s">
        <v>302</v>
      </c>
      <c r="Q215" s="20">
        <v>796</v>
      </c>
      <c r="R215" s="20" t="s">
        <v>54</v>
      </c>
      <c r="S215" s="93">
        <v>1</v>
      </c>
      <c r="T215" s="24">
        <v>87500</v>
      </c>
      <c r="U215" s="24">
        <f t="shared" si="38"/>
        <v>87500</v>
      </c>
      <c r="V215" s="24">
        <f t="shared" si="39"/>
        <v>98000</v>
      </c>
      <c r="W215" s="25"/>
      <c r="X215" s="25">
        <v>2018</v>
      </c>
      <c r="Y215" s="62"/>
      <c r="Z215" s="102"/>
      <c r="AA215" s="102"/>
      <c r="AB215" s="10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66">
      <c r="A216" s="3"/>
      <c r="B216" s="20" t="s">
        <v>772</v>
      </c>
      <c r="C216" s="28" t="s">
        <v>36</v>
      </c>
      <c r="D216" s="28" t="s">
        <v>527</v>
      </c>
      <c r="E216" s="28" t="s">
        <v>528</v>
      </c>
      <c r="F216" s="40" t="s">
        <v>841</v>
      </c>
      <c r="G216" s="40"/>
      <c r="H216" s="28" t="s">
        <v>442</v>
      </c>
      <c r="I216" s="28">
        <v>0</v>
      </c>
      <c r="J216" s="22">
        <v>710000000</v>
      </c>
      <c r="K216" s="28" t="s">
        <v>41</v>
      </c>
      <c r="L216" s="28" t="s">
        <v>386</v>
      </c>
      <c r="M216" s="28" t="s">
        <v>42</v>
      </c>
      <c r="N216" s="28" t="s">
        <v>43</v>
      </c>
      <c r="O216" s="23" t="s">
        <v>443</v>
      </c>
      <c r="P216" s="20" t="s">
        <v>825</v>
      </c>
      <c r="Q216" s="28">
        <v>796</v>
      </c>
      <c r="R216" s="28" t="s">
        <v>54</v>
      </c>
      <c r="S216" s="94">
        <v>22</v>
      </c>
      <c r="T216" s="24">
        <v>47767</v>
      </c>
      <c r="U216" s="29">
        <f t="shared" si="38"/>
        <v>1050874</v>
      </c>
      <c r="V216" s="29">
        <f t="shared" si="39"/>
        <v>1176978.8799999999</v>
      </c>
      <c r="W216" s="30" t="s">
        <v>826</v>
      </c>
      <c r="X216" s="30">
        <v>2018</v>
      </c>
      <c r="Y216" s="62"/>
      <c r="Z216" s="102"/>
      <c r="AA216" s="102"/>
      <c r="AB216" s="10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66">
      <c r="A217" s="3"/>
      <c r="B217" s="20" t="s">
        <v>773</v>
      </c>
      <c r="C217" s="28" t="s">
        <v>36</v>
      </c>
      <c r="D217" s="28" t="s">
        <v>531</v>
      </c>
      <c r="E217" s="28" t="s">
        <v>528</v>
      </c>
      <c r="F217" s="40" t="s">
        <v>842</v>
      </c>
      <c r="G217" s="40"/>
      <c r="H217" s="28" t="s">
        <v>442</v>
      </c>
      <c r="I217" s="28">
        <v>0</v>
      </c>
      <c r="J217" s="22">
        <v>710000000</v>
      </c>
      <c r="K217" s="28" t="s">
        <v>41</v>
      </c>
      <c r="L217" s="28" t="s">
        <v>386</v>
      </c>
      <c r="M217" s="28" t="s">
        <v>42</v>
      </c>
      <c r="N217" s="28" t="s">
        <v>43</v>
      </c>
      <c r="O217" s="23" t="s">
        <v>443</v>
      </c>
      <c r="P217" s="20" t="s">
        <v>825</v>
      </c>
      <c r="Q217" s="28">
        <v>796</v>
      </c>
      <c r="R217" s="28" t="s">
        <v>54</v>
      </c>
      <c r="S217" s="94">
        <v>2</v>
      </c>
      <c r="T217" s="24">
        <v>107142</v>
      </c>
      <c r="U217" s="29">
        <f t="shared" si="38"/>
        <v>214284</v>
      </c>
      <c r="V217" s="29">
        <f t="shared" si="39"/>
        <v>239998.07999999999</v>
      </c>
      <c r="W217" s="30" t="s">
        <v>826</v>
      </c>
      <c r="X217" s="30">
        <v>2018</v>
      </c>
      <c r="Y217" s="62"/>
      <c r="Z217" s="102"/>
      <c r="AA217" s="102"/>
      <c r="AB217" s="10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52.8">
      <c r="A218" s="3"/>
      <c r="B218" s="20" t="s">
        <v>774</v>
      </c>
      <c r="C218" s="28" t="s">
        <v>36</v>
      </c>
      <c r="D218" s="28" t="s">
        <v>533</v>
      </c>
      <c r="E218" s="28" t="s">
        <v>528</v>
      </c>
      <c r="F218" s="40" t="s">
        <v>843</v>
      </c>
      <c r="G218" s="40"/>
      <c r="H218" s="28" t="s">
        <v>442</v>
      </c>
      <c r="I218" s="28">
        <v>0</v>
      </c>
      <c r="J218" s="22">
        <v>710000000</v>
      </c>
      <c r="K218" s="28" t="s">
        <v>41</v>
      </c>
      <c r="L218" s="28" t="s">
        <v>386</v>
      </c>
      <c r="M218" s="28" t="s">
        <v>42</v>
      </c>
      <c r="N218" s="28" t="s">
        <v>43</v>
      </c>
      <c r="O218" s="23" t="s">
        <v>443</v>
      </c>
      <c r="P218" s="20" t="s">
        <v>825</v>
      </c>
      <c r="Q218" s="28">
        <v>796</v>
      </c>
      <c r="R218" s="28" t="s">
        <v>54</v>
      </c>
      <c r="S218" s="94">
        <v>5</v>
      </c>
      <c r="T218" s="24">
        <v>89285</v>
      </c>
      <c r="U218" s="29">
        <f t="shared" si="38"/>
        <v>446425</v>
      </c>
      <c r="V218" s="29">
        <f t="shared" si="39"/>
        <v>499996</v>
      </c>
      <c r="W218" s="30" t="s">
        <v>826</v>
      </c>
      <c r="X218" s="30">
        <v>2018</v>
      </c>
      <c r="Y218" s="62"/>
      <c r="Z218" s="102"/>
      <c r="AA218" s="102"/>
      <c r="AB218" s="10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52.8">
      <c r="A219" s="3"/>
      <c r="B219" s="20" t="s">
        <v>775</v>
      </c>
      <c r="C219" s="28" t="s">
        <v>36</v>
      </c>
      <c r="D219" s="28" t="s">
        <v>535</v>
      </c>
      <c r="E219" s="28" t="s">
        <v>519</v>
      </c>
      <c r="F219" s="40" t="s">
        <v>811</v>
      </c>
      <c r="G219" s="40"/>
      <c r="H219" s="28" t="s">
        <v>442</v>
      </c>
      <c r="I219" s="28">
        <v>0</v>
      </c>
      <c r="J219" s="22">
        <v>710000000</v>
      </c>
      <c r="K219" s="28" t="s">
        <v>41</v>
      </c>
      <c r="L219" s="28" t="s">
        <v>386</v>
      </c>
      <c r="M219" s="28" t="s">
        <v>42</v>
      </c>
      <c r="N219" s="28" t="s">
        <v>43</v>
      </c>
      <c r="O219" s="23" t="s">
        <v>443</v>
      </c>
      <c r="P219" s="20" t="s">
        <v>825</v>
      </c>
      <c r="Q219" s="28">
        <v>796</v>
      </c>
      <c r="R219" s="28" t="s">
        <v>54</v>
      </c>
      <c r="S219" s="94">
        <v>22</v>
      </c>
      <c r="T219" s="24">
        <v>85714</v>
      </c>
      <c r="U219" s="29">
        <f t="shared" si="38"/>
        <v>1885708</v>
      </c>
      <c r="V219" s="29">
        <f t="shared" si="39"/>
        <v>2111992.96</v>
      </c>
      <c r="W219" s="30" t="s">
        <v>826</v>
      </c>
      <c r="X219" s="30">
        <v>2018</v>
      </c>
      <c r="Y219" s="62"/>
      <c r="Z219" s="102"/>
      <c r="AA219" s="102"/>
      <c r="AB219" s="10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52.8">
      <c r="A220" s="3"/>
      <c r="B220" s="20" t="s">
        <v>776</v>
      </c>
      <c r="C220" s="28" t="s">
        <v>36</v>
      </c>
      <c r="D220" s="28" t="s">
        <v>537</v>
      </c>
      <c r="E220" s="28" t="s">
        <v>538</v>
      </c>
      <c r="F220" s="40" t="s">
        <v>812</v>
      </c>
      <c r="G220" s="49"/>
      <c r="H220" s="28" t="s">
        <v>442</v>
      </c>
      <c r="I220" s="28">
        <v>0</v>
      </c>
      <c r="J220" s="22">
        <v>710000000</v>
      </c>
      <c r="K220" s="28" t="s">
        <v>41</v>
      </c>
      <c r="L220" s="28" t="s">
        <v>386</v>
      </c>
      <c r="M220" s="28" t="s">
        <v>42</v>
      </c>
      <c r="N220" s="28" t="s">
        <v>43</v>
      </c>
      <c r="O220" s="23" t="s">
        <v>443</v>
      </c>
      <c r="P220" s="20" t="s">
        <v>825</v>
      </c>
      <c r="Q220" s="28">
        <v>796</v>
      </c>
      <c r="R220" s="28" t="s">
        <v>54</v>
      </c>
      <c r="S220" s="97">
        <v>22</v>
      </c>
      <c r="T220" s="24">
        <v>44642</v>
      </c>
      <c r="U220" s="29">
        <f t="shared" si="38"/>
        <v>982124</v>
      </c>
      <c r="V220" s="29">
        <f t="shared" si="39"/>
        <v>1099978.8799999999</v>
      </c>
      <c r="W220" s="30" t="s">
        <v>826</v>
      </c>
      <c r="X220" s="30">
        <v>2018</v>
      </c>
      <c r="Y220" s="62"/>
      <c r="Z220" s="102"/>
      <c r="AA220" s="102"/>
      <c r="AB220" s="10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52.8">
      <c r="A221" s="3"/>
      <c r="B221" s="20" t="s">
        <v>777</v>
      </c>
      <c r="C221" s="20" t="s">
        <v>36</v>
      </c>
      <c r="D221" s="28" t="s">
        <v>540</v>
      </c>
      <c r="E221" s="28" t="s">
        <v>541</v>
      </c>
      <c r="F221" s="40" t="s">
        <v>542</v>
      </c>
      <c r="G221" s="49"/>
      <c r="H221" s="20" t="s">
        <v>442</v>
      </c>
      <c r="I221" s="20">
        <v>0</v>
      </c>
      <c r="J221" s="22">
        <v>710000000</v>
      </c>
      <c r="K221" s="20" t="s">
        <v>41</v>
      </c>
      <c r="L221" s="20" t="s">
        <v>386</v>
      </c>
      <c r="M221" s="20" t="s">
        <v>42</v>
      </c>
      <c r="N221" s="20" t="s">
        <v>43</v>
      </c>
      <c r="O221" s="23" t="s">
        <v>443</v>
      </c>
      <c r="P221" s="20" t="s">
        <v>825</v>
      </c>
      <c r="Q221" s="20">
        <v>796</v>
      </c>
      <c r="R221" s="20" t="s">
        <v>54</v>
      </c>
      <c r="S221" s="98">
        <v>22</v>
      </c>
      <c r="T221" s="24">
        <v>111607</v>
      </c>
      <c r="U221" s="24">
        <f t="shared" si="38"/>
        <v>2455354</v>
      </c>
      <c r="V221" s="24">
        <f t="shared" si="39"/>
        <v>2749996.48</v>
      </c>
      <c r="W221" s="30" t="s">
        <v>826</v>
      </c>
      <c r="X221" s="25">
        <v>2018</v>
      </c>
      <c r="Y221" s="62"/>
      <c r="Z221" s="102"/>
      <c r="AA221" s="102"/>
      <c r="AB221" s="10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52.8">
      <c r="A222" s="3"/>
      <c r="B222" s="20" t="s">
        <v>778</v>
      </c>
      <c r="C222" s="20" t="s">
        <v>36</v>
      </c>
      <c r="D222" s="28" t="s">
        <v>544</v>
      </c>
      <c r="E222" s="28" t="s">
        <v>545</v>
      </c>
      <c r="F222" s="40" t="s">
        <v>546</v>
      </c>
      <c r="G222" s="49"/>
      <c r="H222" s="20" t="s">
        <v>442</v>
      </c>
      <c r="I222" s="20">
        <v>0</v>
      </c>
      <c r="J222" s="22">
        <v>710000000</v>
      </c>
      <c r="K222" s="20" t="s">
        <v>41</v>
      </c>
      <c r="L222" s="20" t="s">
        <v>386</v>
      </c>
      <c r="M222" s="20" t="s">
        <v>42</v>
      </c>
      <c r="N222" s="20" t="s">
        <v>43</v>
      </c>
      <c r="O222" s="23" t="s">
        <v>443</v>
      </c>
      <c r="P222" s="20" t="s">
        <v>825</v>
      </c>
      <c r="Q222" s="20">
        <v>796</v>
      </c>
      <c r="R222" s="20" t="s">
        <v>54</v>
      </c>
      <c r="S222" s="98">
        <v>11</v>
      </c>
      <c r="T222" s="24">
        <v>129642</v>
      </c>
      <c r="U222" s="24">
        <f t="shared" si="38"/>
        <v>1426062</v>
      </c>
      <c r="V222" s="24">
        <f t="shared" si="39"/>
        <v>1597189.44</v>
      </c>
      <c r="W222" s="30" t="s">
        <v>826</v>
      </c>
      <c r="X222" s="25">
        <v>2018</v>
      </c>
      <c r="Y222" s="62"/>
      <c r="Z222" s="102"/>
      <c r="AA222" s="102"/>
      <c r="AB222" s="10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52.8">
      <c r="A223" s="3"/>
      <c r="B223" s="20" t="s">
        <v>779</v>
      </c>
      <c r="C223" s="20" t="s">
        <v>36</v>
      </c>
      <c r="D223" s="22" t="s">
        <v>540</v>
      </c>
      <c r="E223" s="28" t="s">
        <v>541</v>
      </c>
      <c r="F223" s="40" t="s">
        <v>548</v>
      </c>
      <c r="G223" s="49"/>
      <c r="H223" s="20" t="s">
        <v>442</v>
      </c>
      <c r="I223" s="20">
        <v>0</v>
      </c>
      <c r="J223" s="22">
        <v>710000000</v>
      </c>
      <c r="K223" s="20" t="s">
        <v>41</v>
      </c>
      <c r="L223" s="20" t="s">
        <v>386</v>
      </c>
      <c r="M223" s="20" t="s">
        <v>42</v>
      </c>
      <c r="N223" s="20" t="s">
        <v>43</v>
      </c>
      <c r="O223" s="23" t="s">
        <v>443</v>
      </c>
      <c r="P223" s="20" t="s">
        <v>825</v>
      </c>
      <c r="Q223" s="20">
        <v>796</v>
      </c>
      <c r="R223" s="20" t="s">
        <v>54</v>
      </c>
      <c r="S223" s="98">
        <v>11</v>
      </c>
      <c r="T223" s="24">
        <v>89285</v>
      </c>
      <c r="U223" s="24">
        <f t="shared" si="38"/>
        <v>982135</v>
      </c>
      <c r="V223" s="24">
        <f t="shared" si="39"/>
        <v>1099991.2</v>
      </c>
      <c r="W223" s="30" t="s">
        <v>826</v>
      </c>
      <c r="X223" s="25">
        <v>2018</v>
      </c>
      <c r="Y223" s="62"/>
      <c r="Z223" s="102"/>
      <c r="AA223" s="102"/>
      <c r="AB223" s="10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52.8">
      <c r="A224" s="3"/>
      <c r="B224" s="20" t="s">
        <v>780</v>
      </c>
      <c r="C224" s="20" t="s">
        <v>36</v>
      </c>
      <c r="D224" s="22" t="s">
        <v>550</v>
      </c>
      <c r="E224" s="28" t="s">
        <v>541</v>
      </c>
      <c r="F224" s="40" t="s">
        <v>551</v>
      </c>
      <c r="G224" s="49"/>
      <c r="H224" s="20" t="s">
        <v>442</v>
      </c>
      <c r="I224" s="20">
        <v>0</v>
      </c>
      <c r="J224" s="22">
        <v>710000000</v>
      </c>
      <c r="K224" s="20" t="s">
        <v>41</v>
      </c>
      <c r="L224" s="20" t="s">
        <v>386</v>
      </c>
      <c r="M224" s="20" t="s">
        <v>42</v>
      </c>
      <c r="N224" s="20" t="s">
        <v>43</v>
      </c>
      <c r="O224" s="23" t="s">
        <v>443</v>
      </c>
      <c r="P224" s="20" t="s">
        <v>825</v>
      </c>
      <c r="Q224" s="20">
        <v>796</v>
      </c>
      <c r="R224" s="20" t="s">
        <v>54</v>
      </c>
      <c r="S224" s="98">
        <v>12</v>
      </c>
      <c r="T224" s="24">
        <v>40178</v>
      </c>
      <c r="U224" s="24">
        <f t="shared" si="38"/>
        <v>482136</v>
      </c>
      <c r="V224" s="24">
        <f t="shared" si="39"/>
        <v>539992.31999999995</v>
      </c>
      <c r="W224" s="30" t="s">
        <v>826</v>
      </c>
      <c r="X224" s="25">
        <v>2018</v>
      </c>
      <c r="Y224" s="62"/>
      <c r="Z224" s="102"/>
      <c r="AA224" s="102"/>
      <c r="AB224" s="10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52.8">
      <c r="A225" s="3"/>
      <c r="B225" s="20" t="s">
        <v>781</v>
      </c>
      <c r="C225" s="20" t="s">
        <v>36</v>
      </c>
      <c r="D225" s="22" t="s">
        <v>553</v>
      </c>
      <c r="E225" s="28" t="s">
        <v>541</v>
      </c>
      <c r="F225" s="40" t="s">
        <v>554</v>
      </c>
      <c r="G225" s="49"/>
      <c r="H225" s="20" t="s">
        <v>442</v>
      </c>
      <c r="I225" s="20">
        <v>0</v>
      </c>
      <c r="J225" s="22">
        <v>710000000</v>
      </c>
      <c r="K225" s="20" t="s">
        <v>41</v>
      </c>
      <c r="L225" s="20" t="s">
        <v>386</v>
      </c>
      <c r="M225" s="20" t="s">
        <v>42</v>
      </c>
      <c r="N225" s="20" t="s">
        <v>43</v>
      </c>
      <c r="O225" s="23" t="s">
        <v>443</v>
      </c>
      <c r="P225" s="20" t="s">
        <v>825</v>
      </c>
      <c r="Q225" s="20">
        <v>796</v>
      </c>
      <c r="R225" s="20" t="s">
        <v>54</v>
      </c>
      <c r="S225" s="98">
        <v>11</v>
      </c>
      <c r="T225" s="24">
        <v>89285</v>
      </c>
      <c r="U225" s="24">
        <f t="shared" si="38"/>
        <v>982135</v>
      </c>
      <c r="V225" s="24">
        <f t="shared" si="39"/>
        <v>1099991.2</v>
      </c>
      <c r="W225" s="30" t="s">
        <v>826</v>
      </c>
      <c r="X225" s="25">
        <v>2018</v>
      </c>
      <c r="Y225" s="62"/>
      <c r="Z225" s="102"/>
      <c r="AA225" s="102"/>
      <c r="AB225" s="10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66">
      <c r="A226" s="3"/>
      <c r="B226" s="20" t="s">
        <v>782</v>
      </c>
      <c r="C226" s="28" t="s">
        <v>36</v>
      </c>
      <c r="D226" s="22" t="s">
        <v>556</v>
      </c>
      <c r="E226" s="28" t="s">
        <v>557</v>
      </c>
      <c r="F226" s="40" t="s">
        <v>844</v>
      </c>
      <c r="G226" s="49"/>
      <c r="H226" s="28" t="s">
        <v>442</v>
      </c>
      <c r="I226" s="28">
        <v>0</v>
      </c>
      <c r="J226" s="22">
        <v>710000000</v>
      </c>
      <c r="K226" s="28" t="s">
        <v>41</v>
      </c>
      <c r="L226" s="28" t="s">
        <v>386</v>
      </c>
      <c r="M226" s="28" t="s">
        <v>42</v>
      </c>
      <c r="N226" s="28" t="s">
        <v>43</v>
      </c>
      <c r="O226" s="23" t="s">
        <v>443</v>
      </c>
      <c r="P226" s="20" t="s">
        <v>825</v>
      </c>
      <c r="Q226" s="28">
        <v>796</v>
      </c>
      <c r="R226" s="28" t="s">
        <v>54</v>
      </c>
      <c r="S226" s="97">
        <v>68</v>
      </c>
      <c r="T226" s="24">
        <v>40178</v>
      </c>
      <c r="U226" s="24">
        <f t="shared" si="38"/>
        <v>2732104</v>
      </c>
      <c r="V226" s="29">
        <f t="shared" si="39"/>
        <v>3059956.48</v>
      </c>
      <c r="W226" s="30" t="s">
        <v>826</v>
      </c>
      <c r="X226" s="30">
        <v>2018</v>
      </c>
      <c r="Y226" s="62"/>
      <c r="Z226" s="102"/>
      <c r="AA226" s="102"/>
      <c r="AB226" s="10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52.8">
      <c r="A227" s="3"/>
      <c r="B227" s="20" t="s">
        <v>783</v>
      </c>
      <c r="C227" s="20" t="s">
        <v>36</v>
      </c>
      <c r="D227" s="22" t="s">
        <v>559</v>
      </c>
      <c r="E227" s="28" t="s">
        <v>519</v>
      </c>
      <c r="F227" s="20" t="s">
        <v>560</v>
      </c>
      <c r="G227" s="52"/>
      <c r="H227" s="20" t="s">
        <v>442</v>
      </c>
      <c r="I227" s="20">
        <v>0</v>
      </c>
      <c r="J227" s="22">
        <v>710000000</v>
      </c>
      <c r="K227" s="20" t="s">
        <v>41</v>
      </c>
      <c r="L227" s="20" t="s">
        <v>386</v>
      </c>
      <c r="M227" s="20" t="s">
        <v>42</v>
      </c>
      <c r="N227" s="20" t="s">
        <v>43</v>
      </c>
      <c r="O227" s="23" t="s">
        <v>443</v>
      </c>
      <c r="P227" s="20" t="s">
        <v>825</v>
      </c>
      <c r="Q227" s="20">
        <v>796</v>
      </c>
      <c r="R227" s="20" t="s">
        <v>54</v>
      </c>
      <c r="S227" s="98">
        <v>2</v>
      </c>
      <c r="T227" s="24">
        <v>281250</v>
      </c>
      <c r="U227" s="24">
        <f t="shared" si="38"/>
        <v>562500</v>
      </c>
      <c r="V227" s="24">
        <f t="shared" si="39"/>
        <v>630000</v>
      </c>
      <c r="W227" s="30" t="s">
        <v>826</v>
      </c>
      <c r="X227" s="25">
        <v>2018</v>
      </c>
      <c r="Y227" s="62"/>
      <c r="Z227" s="102"/>
      <c r="AA227" s="102"/>
      <c r="AB227" s="10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52.8">
      <c r="A228" s="3"/>
      <c r="B228" s="20" t="s">
        <v>784</v>
      </c>
      <c r="C228" s="28" t="s">
        <v>36</v>
      </c>
      <c r="D228" s="28" t="s">
        <v>562</v>
      </c>
      <c r="E228" s="28" t="s">
        <v>563</v>
      </c>
      <c r="F228" s="40" t="s">
        <v>564</v>
      </c>
      <c r="G228" s="49"/>
      <c r="H228" s="53" t="s">
        <v>40</v>
      </c>
      <c r="I228" s="28">
        <v>0</v>
      </c>
      <c r="J228" s="22">
        <v>710000000</v>
      </c>
      <c r="K228" s="28" t="s">
        <v>41</v>
      </c>
      <c r="L228" s="28" t="s">
        <v>386</v>
      </c>
      <c r="M228" s="28" t="s">
        <v>42</v>
      </c>
      <c r="N228" s="28" t="s">
        <v>43</v>
      </c>
      <c r="O228" s="23" t="s">
        <v>443</v>
      </c>
      <c r="P228" s="20" t="s">
        <v>302</v>
      </c>
      <c r="Q228" s="28">
        <v>796</v>
      </c>
      <c r="R228" s="28" t="s">
        <v>54</v>
      </c>
      <c r="S228" s="94">
        <v>1</v>
      </c>
      <c r="T228" s="24">
        <v>76785</v>
      </c>
      <c r="U228" s="24">
        <f t="shared" si="38"/>
        <v>76785</v>
      </c>
      <c r="V228" s="29">
        <f t="shared" si="39"/>
        <v>85999.2</v>
      </c>
      <c r="W228" s="50"/>
      <c r="X228" s="30">
        <v>2018</v>
      </c>
      <c r="Y228" s="62"/>
      <c r="Z228" s="102"/>
      <c r="AA228" s="102"/>
      <c r="AB228" s="10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52.8">
      <c r="A229" s="3"/>
      <c r="B229" s="20" t="s">
        <v>785</v>
      </c>
      <c r="C229" s="28" t="s">
        <v>36</v>
      </c>
      <c r="D229" s="28" t="s">
        <v>566</v>
      </c>
      <c r="E229" s="28" t="s">
        <v>563</v>
      </c>
      <c r="F229" s="40" t="s">
        <v>564</v>
      </c>
      <c r="G229" s="49"/>
      <c r="H229" s="53" t="s">
        <v>40</v>
      </c>
      <c r="I229" s="28">
        <v>0</v>
      </c>
      <c r="J229" s="22">
        <v>710000000</v>
      </c>
      <c r="K229" s="28" t="s">
        <v>41</v>
      </c>
      <c r="L229" s="28" t="s">
        <v>386</v>
      </c>
      <c r="M229" s="28" t="s">
        <v>42</v>
      </c>
      <c r="N229" s="28" t="s">
        <v>43</v>
      </c>
      <c r="O229" s="23" t="s">
        <v>443</v>
      </c>
      <c r="P229" s="20" t="s">
        <v>302</v>
      </c>
      <c r="Q229" s="28">
        <v>796</v>
      </c>
      <c r="R229" s="28" t="s">
        <v>54</v>
      </c>
      <c r="S229" s="94">
        <v>2</v>
      </c>
      <c r="T229" s="24">
        <v>62500</v>
      </c>
      <c r="U229" s="24">
        <f t="shared" si="38"/>
        <v>125000</v>
      </c>
      <c r="V229" s="29">
        <f t="shared" si="39"/>
        <v>140000</v>
      </c>
      <c r="W229" s="50"/>
      <c r="X229" s="25">
        <v>2018</v>
      </c>
      <c r="Y229" s="62"/>
      <c r="Z229" s="102"/>
      <c r="AA229" s="102"/>
      <c r="AB229" s="10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52.8">
      <c r="A230" s="3"/>
      <c r="B230" s="20" t="s">
        <v>786</v>
      </c>
      <c r="C230" s="20" t="s">
        <v>36</v>
      </c>
      <c r="D230" s="28" t="s">
        <v>568</v>
      </c>
      <c r="E230" s="28" t="s">
        <v>569</v>
      </c>
      <c r="F230" s="20" t="s">
        <v>570</v>
      </c>
      <c r="G230" s="52"/>
      <c r="H230" s="52" t="s">
        <v>40</v>
      </c>
      <c r="I230" s="20">
        <v>0</v>
      </c>
      <c r="J230" s="22">
        <v>710000000</v>
      </c>
      <c r="K230" s="20" t="s">
        <v>41</v>
      </c>
      <c r="L230" s="28" t="s">
        <v>386</v>
      </c>
      <c r="M230" s="20" t="s">
        <v>42</v>
      </c>
      <c r="N230" s="20" t="s">
        <v>43</v>
      </c>
      <c r="O230" s="23" t="s">
        <v>443</v>
      </c>
      <c r="P230" s="20" t="s">
        <v>302</v>
      </c>
      <c r="Q230" s="20">
        <v>796</v>
      </c>
      <c r="R230" s="20" t="s">
        <v>54</v>
      </c>
      <c r="S230" s="94">
        <v>2</v>
      </c>
      <c r="T230" s="24">
        <v>312500</v>
      </c>
      <c r="U230" s="24">
        <f t="shared" si="38"/>
        <v>625000</v>
      </c>
      <c r="V230" s="29">
        <v>700000</v>
      </c>
      <c r="W230" s="51"/>
      <c r="X230" s="25">
        <v>2018</v>
      </c>
      <c r="Y230" s="62"/>
      <c r="Z230" s="102"/>
      <c r="AA230" s="102"/>
      <c r="AB230" s="10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52.8">
      <c r="A231" s="3"/>
      <c r="B231" s="20" t="s">
        <v>787</v>
      </c>
      <c r="C231" s="20" t="s">
        <v>36</v>
      </c>
      <c r="D231" s="28" t="s">
        <v>572</v>
      </c>
      <c r="E231" s="28" t="s">
        <v>573</v>
      </c>
      <c r="F231" s="52" t="s">
        <v>574</v>
      </c>
      <c r="G231" s="52"/>
      <c r="H231" s="52" t="s">
        <v>40</v>
      </c>
      <c r="I231" s="20">
        <v>0</v>
      </c>
      <c r="J231" s="22">
        <v>710000000</v>
      </c>
      <c r="K231" s="20" t="s">
        <v>41</v>
      </c>
      <c r="L231" s="28" t="s">
        <v>386</v>
      </c>
      <c r="M231" s="20" t="s">
        <v>42</v>
      </c>
      <c r="N231" s="20" t="s">
        <v>43</v>
      </c>
      <c r="O231" s="23" t="s">
        <v>443</v>
      </c>
      <c r="P231" s="20" t="s">
        <v>302</v>
      </c>
      <c r="Q231" s="20">
        <v>796</v>
      </c>
      <c r="R231" s="20" t="s">
        <v>54</v>
      </c>
      <c r="S231" s="94">
        <v>1</v>
      </c>
      <c r="T231" s="24">
        <v>79464</v>
      </c>
      <c r="U231" s="24">
        <f t="shared" si="38"/>
        <v>79464</v>
      </c>
      <c r="V231" s="29">
        <v>89000</v>
      </c>
      <c r="W231" s="51"/>
      <c r="X231" s="25">
        <v>2018</v>
      </c>
      <c r="Y231" s="62"/>
      <c r="Z231" s="102"/>
      <c r="AA231" s="102"/>
      <c r="AB231" s="10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52.8">
      <c r="A232" s="3"/>
      <c r="B232" s="20" t="s">
        <v>788</v>
      </c>
      <c r="C232" s="20" t="s">
        <v>36</v>
      </c>
      <c r="D232" s="28" t="s">
        <v>572</v>
      </c>
      <c r="E232" s="28" t="s">
        <v>573</v>
      </c>
      <c r="F232" s="28" t="s">
        <v>576</v>
      </c>
      <c r="G232" s="52"/>
      <c r="H232" s="52" t="s">
        <v>40</v>
      </c>
      <c r="I232" s="20">
        <v>0</v>
      </c>
      <c r="J232" s="22">
        <v>710000000</v>
      </c>
      <c r="K232" s="20" t="s">
        <v>41</v>
      </c>
      <c r="L232" s="28" t="s">
        <v>386</v>
      </c>
      <c r="M232" s="20" t="s">
        <v>42</v>
      </c>
      <c r="N232" s="20" t="s">
        <v>43</v>
      </c>
      <c r="O232" s="23" t="s">
        <v>367</v>
      </c>
      <c r="P232" s="20" t="s">
        <v>302</v>
      </c>
      <c r="Q232" s="20">
        <v>796</v>
      </c>
      <c r="R232" s="20" t="s">
        <v>54</v>
      </c>
      <c r="S232" s="94">
        <v>1</v>
      </c>
      <c r="T232" s="24">
        <v>107142</v>
      </c>
      <c r="U232" s="24">
        <f t="shared" si="38"/>
        <v>107142</v>
      </c>
      <c r="V232" s="29">
        <v>120000</v>
      </c>
      <c r="W232" s="51"/>
      <c r="X232" s="25">
        <v>2018</v>
      </c>
      <c r="Y232" s="62"/>
      <c r="Z232" s="102"/>
      <c r="AA232" s="102"/>
      <c r="AB232" s="10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58.5" customHeight="1">
      <c r="A233" s="3"/>
      <c r="B233" s="20" t="s">
        <v>789</v>
      </c>
      <c r="C233" s="20" t="s">
        <v>36</v>
      </c>
      <c r="D233" s="28" t="s">
        <v>578</v>
      </c>
      <c r="E233" s="28" t="s">
        <v>579</v>
      </c>
      <c r="F233" s="28" t="s">
        <v>580</v>
      </c>
      <c r="G233" s="52"/>
      <c r="H233" s="52" t="s">
        <v>40</v>
      </c>
      <c r="I233" s="20">
        <v>0</v>
      </c>
      <c r="J233" s="22">
        <v>710000000</v>
      </c>
      <c r="K233" s="20" t="s">
        <v>41</v>
      </c>
      <c r="L233" s="28" t="s">
        <v>386</v>
      </c>
      <c r="M233" s="20" t="s">
        <v>42</v>
      </c>
      <c r="N233" s="20" t="s">
        <v>43</v>
      </c>
      <c r="O233" s="23" t="s">
        <v>367</v>
      </c>
      <c r="P233" s="20" t="s">
        <v>302</v>
      </c>
      <c r="Q233" s="20">
        <v>796</v>
      </c>
      <c r="R233" s="20" t="s">
        <v>54</v>
      </c>
      <c r="S233" s="94">
        <v>5</v>
      </c>
      <c r="T233" s="24">
        <v>37053</v>
      </c>
      <c r="U233" s="24">
        <f t="shared" si="38"/>
        <v>185265</v>
      </c>
      <c r="V233" s="29">
        <v>207500</v>
      </c>
      <c r="W233" s="51"/>
      <c r="X233" s="25">
        <v>2018</v>
      </c>
      <c r="Y233" s="62"/>
      <c r="Z233" s="102"/>
      <c r="AA233" s="102"/>
      <c r="AB233" s="10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52.8">
      <c r="A234" s="3"/>
      <c r="B234" s="20" t="s">
        <v>790</v>
      </c>
      <c r="C234" s="28" t="s">
        <v>36</v>
      </c>
      <c r="D234" s="28" t="s">
        <v>582</v>
      </c>
      <c r="E234" s="28" t="s">
        <v>583</v>
      </c>
      <c r="F234" s="40" t="s">
        <v>584</v>
      </c>
      <c r="G234" s="49"/>
      <c r="H234" s="53" t="s">
        <v>40</v>
      </c>
      <c r="I234" s="28">
        <v>0</v>
      </c>
      <c r="J234" s="22">
        <v>710000000</v>
      </c>
      <c r="K234" s="28" t="s">
        <v>41</v>
      </c>
      <c r="L234" s="28" t="s">
        <v>386</v>
      </c>
      <c r="M234" s="28" t="s">
        <v>42</v>
      </c>
      <c r="N234" s="28" t="s">
        <v>43</v>
      </c>
      <c r="O234" s="23" t="s">
        <v>367</v>
      </c>
      <c r="P234" s="20" t="s">
        <v>302</v>
      </c>
      <c r="Q234" s="28">
        <v>796</v>
      </c>
      <c r="R234" s="28" t="s">
        <v>54</v>
      </c>
      <c r="S234" s="94">
        <v>5</v>
      </c>
      <c r="T234" s="24">
        <v>41964</v>
      </c>
      <c r="U234" s="24">
        <f t="shared" si="38"/>
        <v>209820</v>
      </c>
      <c r="V234" s="29">
        <v>234999.97</v>
      </c>
      <c r="W234" s="50"/>
      <c r="X234" s="30">
        <v>2018</v>
      </c>
      <c r="Y234" s="62"/>
      <c r="Z234" s="102"/>
      <c r="AA234" s="102"/>
      <c r="AB234" s="10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52.8">
      <c r="A235" s="3"/>
      <c r="B235" s="20" t="s">
        <v>791</v>
      </c>
      <c r="C235" s="28" t="s">
        <v>36</v>
      </c>
      <c r="D235" s="28" t="s">
        <v>586</v>
      </c>
      <c r="E235" s="28" t="s">
        <v>587</v>
      </c>
      <c r="F235" s="40" t="s">
        <v>588</v>
      </c>
      <c r="G235" s="49"/>
      <c r="H235" s="53" t="s">
        <v>40</v>
      </c>
      <c r="I235" s="28">
        <v>0</v>
      </c>
      <c r="J235" s="22">
        <v>710000000</v>
      </c>
      <c r="K235" s="28" t="s">
        <v>41</v>
      </c>
      <c r="L235" s="28" t="s">
        <v>386</v>
      </c>
      <c r="M235" s="28" t="s">
        <v>42</v>
      </c>
      <c r="N235" s="28" t="s">
        <v>43</v>
      </c>
      <c r="O235" s="23" t="s">
        <v>367</v>
      </c>
      <c r="P235" s="20" t="s">
        <v>302</v>
      </c>
      <c r="Q235" s="28">
        <v>796</v>
      </c>
      <c r="R235" s="28" t="s">
        <v>54</v>
      </c>
      <c r="S235" s="94">
        <v>5</v>
      </c>
      <c r="T235" s="24">
        <v>70535</v>
      </c>
      <c r="U235" s="24">
        <f t="shared" si="38"/>
        <v>352675</v>
      </c>
      <c r="V235" s="29">
        <v>394999.98</v>
      </c>
      <c r="W235" s="50"/>
      <c r="X235" s="30">
        <v>2018</v>
      </c>
      <c r="Y235" s="62"/>
      <c r="Z235" s="102"/>
      <c r="AA235" s="102"/>
      <c r="AB235" s="10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101.25" customHeight="1">
      <c r="A236" s="3"/>
      <c r="B236" s="20" t="s">
        <v>792</v>
      </c>
      <c r="C236" s="40" t="s">
        <v>36</v>
      </c>
      <c r="D236" s="54" t="s">
        <v>590</v>
      </c>
      <c r="E236" s="40" t="s">
        <v>591</v>
      </c>
      <c r="F236" s="40" t="s">
        <v>592</v>
      </c>
      <c r="G236" s="55"/>
      <c r="H236" s="40" t="s">
        <v>593</v>
      </c>
      <c r="I236" s="56">
        <v>0</v>
      </c>
      <c r="J236" s="41">
        <v>710000000</v>
      </c>
      <c r="K236" s="40" t="s">
        <v>41</v>
      </c>
      <c r="L236" s="40" t="s">
        <v>386</v>
      </c>
      <c r="M236" s="40" t="s">
        <v>42</v>
      </c>
      <c r="N236" s="41" t="s">
        <v>43</v>
      </c>
      <c r="O236" s="76" t="s">
        <v>743</v>
      </c>
      <c r="P236" s="20" t="s">
        <v>302</v>
      </c>
      <c r="Q236" s="28">
        <v>796</v>
      </c>
      <c r="R236" s="40" t="s">
        <v>54</v>
      </c>
      <c r="S236" s="96">
        <v>24</v>
      </c>
      <c r="T236" s="24">
        <v>22321</v>
      </c>
      <c r="U236" s="43">
        <f t="shared" si="38"/>
        <v>535704</v>
      </c>
      <c r="V236" s="57">
        <f>U236+(U236*12%)</f>
        <v>599988.47999999998</v>
      </c>
      <c r="W236" s="55"/>
      <c r="X236" s="58">
        <v>2018</v>
      </c>
      <c r="Y236" s="62"/>
      <c r="Z236" s="102"/>
      <c r="AA236" s="102"/>
      <c r="AB236" s="10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66">
      <c r="A237" s="3"/>
      <c r="B237" s="20" t="s">
        <v>793</v>
      </c>
      <c r="C237" s="40" t="s">
        <v>36</v>
      </c>
      <c r="D237" s="54" t="s">
        <v>595</v>
      </c>
      <c r="E237" s="40" t="s">
        <v>596</v>
      </c>
      <c r="F237" s="40" t="s">
        <v>846</v>
      </c>
      <c r="G237" s="40"/>
      <c r="H237" s="40" t="s">
        <v>593</v>
      </c>
      <c r="I237" s="56">
        <v>0</v>
      </c>
      <c r="J237" s="41">
        <v>710000000</v>
      </c>
      <c r="K237" s="40" t="s">
        <v>41</v>
      </c>
      <c r="L237" s="40" t="s">
        <v>386</v>
      </c>
      <c r="M237" s="40" t="s">
        <v>42</v>
      </c>
      <c r="N237" s="41" t="s">
        <v>43</v>
      </c>
      <c r="O237" s="76" t="s">
        <v>743</v>
      </c>
      <c r="P237" s="20" t="s">
        <v>302</v>
      </c>
      <c r="Q237" s="28">
        <v>796</v>
      </c>
      <c r="R237" s="40" t="s">
        <v>54</v>
      </c>
      <c r="S237" s="96">
        <v>29</v>
      </c>
      <c r="T237" s="43">
        <v>80357</v>
      </c>
      <c r="U237" s="43">
        <f t="shared" si="38"/>
        <v>2330353</v>
      </c>
      <c r="V237" s="57">
        <f>U237+(U237*12%)</f>
        <v>2609995.36</v>
      </c>
      <c r="W237" s="55"/>
      <c r="X237" s="58">
        <v>2018</v>
      </c>
      <c r="Y237" s="62"/>
      <c r="Z237" s="102"/>
      <c r="AA237" s="102"/>
      <c r="AB237" s="10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66">
      <c r="A238" s="3"/>
      <c r="B238" s="20" t="s">
        <v>794</v>
      </c>
      <c r="C238" s="40" t="s">
        <v>36</v>
      </c>
      <c r="D238" s="54" t="s">
        <v>595</v>
      </c>
      <c r="E238" s="40" t="s">
        <v>596</v>
      </c>
      <c r="F238" s="40" t="s">
        <v>845</v>
      </c>
      <c r="G238" s="40"/>
      <c r="H238" s="40" t="s">
        <v>593</v>
      </c>
      <c r="I238" s="56">
        <v>0</v>
      </c>
      <c r="J238" s="41">
        <v>710000000</v>
      </c>
      <c r="K238" s="40" t="s">
        <v>41</v>
      </c>
      <c r="L238" s="40" t="s">
        <v>386</v>
      </c>
      <c r="M238" s="40" t="s">
        <v>42</v>
      </c>
      <c r="N238" s="41" t="s">
        <v>43</v>
      </c>
      <c r="O238" s="76" t="s">
        <v>743</v>
      </c>
      <c r="P238" s="20" t="s">
        <v>302</v>
      </c>
      <c r="Q238" s="28">
        <v>796</v>
      </c>
      <c r="R238" s="40" t="s">
        <v>54</v>
      </c>
      <c r="S238" s="96">
        <v>2</v>
      </c>
      <c r="T238" s="43">
        <v>162500</v>
      </c>
      <c r="U238" s="43">
        <f t="shared" si="38"/>
        <v>325000</v>
      </c>
      <c r="V238" s="57">
        <f>U238+(U238*12%)</f>
        <v>364000</v>
      </c>
      <c r="W238" s="55"/>
      <c r="X238" s="58">
        <v>2018</v>
      </c>
      <c r="Y238" s="62"/>
      <c r="Z238" s="102"/>
      <c r="AA238" s="102"/>
      <c r="AB238" s="10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66">
      <c r="A239" s="3"/>
      <c r="B239" s="20" t="s">
        <v>795</v>
      </c>
      <c r="C239" s="40" t="s">
        <v>36</v>
      </c>
      <c r="D239" s="54" t="s">
        <v>595</v>
      </c>
      <c r="E239" s="40" t="s">
        <v>596</v>
      </c>
      <c r="F239" s="40" t="s">
        <v>847</v>
      </c>
      <c r="G239" s="40"/>
      <c r="H239" s="40" t="s">
        <v>593</v>
      </c>
      <c r="I239" s="56">
        <v>0</v>
      </c>
      <c r="J239" s="41">
        <v>710000000</v>
      </c>
      <c r="K239" s="40" t="s">
        <v>41</v>
      </c>
      <c r="L239" s="40" t="s">
        <v>386</v>
      </c>
      <c r="M239" s="40" t="s">
        <v>42</v>
      </c>
      <c r="N239" s="41" t="s">
        <v>43</v>
      </c>
      <c r="O239" s="76" t="s">
        <v>743</v>
      </c>
      <c r="P239" s="20" t="s">
        <v>302</v>
      </c>
      <c r="Q239" s="28">
        <v>796</v>
      </c>
      <c r="R239" s="40" t="s">
        <v>54</v>
      </c>
      <c r="S239" s="96">
        <v>4</v>
      </c>
      <c r="T239" s="43">
        <v>607589</v>
      </c>
      <c r="U239" s="43">
        <f t="shared" si="38"/>
        <v>2430356</v>
      </c>
      <c r="V239" s="57">
        <f>U239+(U239*12%)</f>
        <v>2721998.7199999997</v>
      </c>
      <c r="W239" s="55"/>
      <c r="X239" s="58">
        <v>2018</v>
      </c>
      <c r="Y239" s="62"/>
      <c r="Z239" s="102"/>
      <c r="AA239" s="102"/>
      <c r="AB239" s="10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66">
      <c r="A240" s="3"/>
      <c r="B240" s="20" t="s">
        <v>796</v>
      </c>
      <c r="C240" s="40" t="s">
        <v>36</v>
      </c>
      <c r="D240" s="54" t="s">
        <v>595</v>
      </c>
      <c r="E240" s="40" t="s">
        <v>596</v>
      </c>
      <c r="F240" s="40" t="s">
        <v>848</v>
      </c>
      <c r="G240" s="40"/>
      <c r="H240" s="40" t="s">
        <v>593</v>
      </c>
      <c r="I240" s="56">
        <v>0</v>
      </c>
      <c r="J240" s="41">
        <v>710000000</v>
      </c>
      <c r="K240" s="40" t="s">
        <v>41</v>
      </c>
      <c r="L240" s="40" t="s">
        <v>386</v>
      </c>
      <c r="M240" s="40" t="s">
        <v>42</v>
      </c>
      <c r="N240" s="41" t="s">
        <v>43</v>
      </c>
      <c r="O240" s="76" t="s">
        <v>743</v>
      </c>
      <c r="P240" s="20" t="s">
        <v>302</v>
      </c>
      <c r="Q240" s="28">
        <v>796</v>
      </c>
      <c r="R240" s="40" t="s">
        <v>54</v>
      </c>
      <c r="S240" s="96">
        <v>1</v>
      </c>
      <c r="T240" s="43">
        <v>675892</v>
      </c>
      <c r="U240" s="43">
        <f t="shared" si="38"/>
        <v>675892</v>
      </c>
      <c r="V240" s="57">
        <f>U240+(U240*12%)</f>
        <v>756999.04</v>
      </c>
      <c r="W240" s="55"/>
      <c r="X240" s="58">
        <v>2018</v>
      </c>
      <c r="Y240" s="62"/>
      <c r="Z240" s="102"/>
      <c r="AA240" s="102"/>
      <c r="AB240" s="10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15" customHeight="1">
      <c r="A241" s="3"/>
      <c r="B241" s="135" t="s">
        <v>797</v>
      </c>
      <c r="C241" s="136"/>
      <c r="D241" s="34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108"/>
      <c r="U241" s="83">
        <f>SUM(U14:U240)</f>
        <v>75691324.535714284</v>
      </c>
      <c r="V241" s="84">
        <f>SUM(V14:V240)</f>
        <v>84774293.51000002</v>
      </c>
      <c r="W241" s="35"/>
      <c r="X241" s="32"/>
      <c r="Y241" s="62"/>
      <c r="Z241" s="102"/>
      <c r="AA241" s="102"/>
      <c r="AB241" s="10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12.75" customHeight="1">
      <c r="A242" s="3"/>
      <c r="B242" s="135" t="s">
        <v>27</v>
      </c>
      <c r="C242" s="1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109"/>
      <c r="U242" s="36"/>
      <c r="V242" s="37"/>
      <c r="W242" s="37"/>
      <c r="X242" s="38"/>
      <c r="Y242" s="62"/>
      <c r="Z242" s="102"/>
      <c r="AA242" s="102"/>
      <c r="AB242" s="10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12.75" customHeight="1">
      <c r="A243" s="3"/>
      <c r="B243" s="133" t="s">
        <v>798</v>
      </c>
      <c r="C243" s="137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0"/>
      <c r="U243" s="83">
        <v>0</v>
      </c>
      <c r="V243" s="84">
        <v>0</v>
      </c>
      <c r="W243" s="14"/>
      <c r="X243" s="12"/>
      <c r="Y243" s="62"/>
      <c r="Z243" s="102"/>
      <c r="AA243" s="102"/>
      <c r="AB243" s="10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12.75" customHeight="1">
      <c r="A244" s="3"/>
      <c r="B244" s="133" t="s">
        <v>28</v>
      </c>
      <c r="C244" s="13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07"/>
      <c r="U244" s="8"/>
      <c r="V244" s="9"/>
      <c r="W244" s="9"/>
      <c r="X244" s="10"/>
      <c r="Y244" s="62"/>
      <c r="Z244" s="102"/>
      <c r="AA244" s="102"/>
      <c r="AB244" s="10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132">
      <c r="A245" s="3"/>
      <c r="B245" s="66" t="s">
        <v>29</v>
      </c>
      <c r="C245" s="66" t="s">
        <v>36</v>
      </c>
      <c r="D245" s="66" t="s">
        <v>604</v>
      </c>
      <c r="E245" s="68" t="s">
        <v>605</v>
      </c>
      <c r="F245" s="68" t="s">
        <v>606</v>
      </c>
      <c r="G245" s="68" t="s">
        <v>605</v>
      </c>
      <c r="H245" s="66" t="s">
        <v>40</v>
      </c>
      <c r="I245" s="66">
        <v>100</v>
      </c>
      <c r="J245" s="68">
        <v>710000000</v>
      </c>
      <c r="K245" s="66" t="s">
        <v>41</v>
      </c>
      <c r="L245" s="68" t="s">
        <v>736</v>
      </c>
      <c r="M245" s="66" t="s">
        <v>42</v>
      </c>
      <c r="N245" s="68"/>
      <c r="O245" s="76" t="s">
        <v>301</v>
      </c>
      <c r="P245" s="20" t="s">
        <v>302</v>
      </c>
      <c r="Q245" s="66"/>
      <c r="R245" s="66" t="s">
        <v>607</v>
      </c>
      <c r="S245" s="99">
        <v>1</v>
      </c>
      <c r="T245" s="63">
        <f>172000-(172000*12/112)</f>
        <v>153571.42857142858</v>
      </c>
      <c r="U245" s="63">
        <f t="shared" ref="U245:U247" si="40">S245*T245</f>
        <v>153571.42857142858</v>
      </c>
      <c r="V245" s="64">
        <f t="shared" ref="V245:V251" si="41">U245+(U245*12%)</f>
        <v>172000</v>
      </c>
      <c r="W245" s="71"/>
      <c r="X245" s="71">
        <v>2018</v>
      </c>
      <c r="Y245" s="72" t="s">
        <v>24</v>
      </c>
      <c r="Z245" s="102"/>
      <c r="AA245" s="102"/>
      <c r="AB245" s="10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198">
      <c r="A246" s="3"/>
      <c r="B246" s="66" t="s">
        <v>30</v>
      </c>
      <c r="C246" s="66" t="s">
        <v>36</v>
      </c>
      <c r="D246" s="66" t="s">
        <v>608</v>
      </c>
      <c r="E246" s="66" t="s">
        <v>609</v>
      </c>
      <c r="F246" s="66" t="s">
        <v>609</v>
      </c>
      <c r="G246" s="66"/>
      <c r="H246" s="66" t="s">
        <v>40</v>
      </c>
      <c r="I246" s="66">
        <v>100</v>
      </c>
      <c r="J246" s="68">
        <v>710000000</v>
      </c>
      <c r="K246" s="66" t="s">
        <v>41</v>
      </c>
      <c r="L246" s="68" t="s">
        <v>736</v>
      </c>
      <c r="M246" s="66" t="s">
        <v>42</v>
      </c>
      <c r="N246" s="68"/>
      <c r="O246" s="76" t="s">
        <v>743</v>
      </c>
      <c r="P246" s="66" t="s">
        <v>741</v>
      </c>
      <c r="Q246" s="66"/>
      <c r="R246" s="66" t="s">
        <v>607</v>
      </c>
      <c r="S246" s="99">
        <v>1</v>
      </c>
      <c r="T246" s="63">
        <f>983000-(983000*12/112)</f>
        <v>877678.57142857148</v>
      </c>
      <c r="U246" s="63">
        <f t="shared" si="40"/>
        <v>877678.57142857148</v>
      </c>
      <c r="V246" s="64">
        <f t="shared" si="41"/>
        <v>983000</v>
      </c>
      <c r="W246" s="71"/>
      <c r="X246" s="71">
        <v>2018</v>
      </c>
      <c r="Y246" s="72" t="s">
        <v>24</v>
      </c>
      <c r="Z246" s="102"/>
      <c r="AA246" s="102"/>
      <c r="AB246" s="10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55.2">
      <c r="A247" s="3"/>
      <c r="B247" s="69" t="s">
        <v>31</v>
      </c>
      <c r="C247" s="66" t="s">
        <v>36</v>
      </c>
      <c r="D247" s="74" t="s">
        <v>610</v>
      </c>
      <c r="E247" s="74" t="s">
        <v>815</v>
      </c>
      <c r="F247" s="74" t="s">
        <v>611</v>
      </c>
      <c r="G247" s="69"/>
      <c r="H247" s="75" t="s">
        <v>40</v>
      </c>
      <c r="I247" s="69">
        <v>100</v>
      </c>
      <c r="J247" s="68">
        <v>710000000</v>
      </c>
      <c r="K247" s="75" t="s">
        <v>41</v>
      </c>
      <c r="L247" s="68" t="s">
        <v>736</v>
      </c>
      <c r="M247" s="75" t="s">
        <v>42</v>
      </c>
      <c r="N247" s="68"/>
      <c r="O247" s="66" t="s">
        <v>742</v>
      </c>
      <c r="P247" s="20" t="s">
        <v>302</v>
      </c>
      <c r="Q247" s="69"/>
      <c r="R247" s="75" t="s">
        <v>607</v>
      </c>
      <c r="S247" s="95">
        <v>1</v>
      </c>
      <c r="T247" s="63">
        <f>750000-(750000*12/112)</f>
        <v>669642.85714285716</v>
      </c>
      <c r="U247" s="63">
        <f t="shared" si="40"/>
        <v>669642.85714285716</v>
      </c>
      <c r="V247" s="64">
        <f t="shared" si="41"/>
        <v>750000</v>
      </c>
      <c r="W247" s="69"/>
      <c r="X247" s="71">
        <v>2018</v>
      </c>
      <c r="Y247" s="72"/>
      <c r="Z247" s="102"/>
      <c r="AA247" s="102"/>
      <c r="AB247" s="10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96.6">
      <c r="A248" s="3"/>
      <c r="B248" s="85" t="s">
        <v>612</v>
      </c>
      <c r="C248" s="86" t="s">
        <v>36</v>
      </c>
      <c r="D248" s="87" t="s">
        <v>610</v>
      </c>
      <c r="E248" s="87" t="s">
        <v>815</v>
      </c>
      <c r="F248" s="74" t="s">
        <v>613</v>
      </c>
      <c r="G248" s="69"/>
      <c r="H248" s="75" t="s">
        <v>40</v>
      </c>
      <c r="I248" s="69">
        <v>100</v>
      </c>
      <c r="J248" s="68">
        <v>710000000</v>
      </c>
      <c r="K248" s="75" t="s">
        <v>41</v>
      </c>
      <c r="L248" s="68" t="s">
        <v>736</v>
      </c>
      <c r="M248" s="75" t="s">
        <v>42</v>
      </c>
      <c r="N248" s="68"/>
      <c r="O248" s="66" t="s">
        <v>742</v>
      </c>
      <c r="P248" s="20" t="s">
        <v>302</v>
      </c>
      <c r="Q248" s="69"/>
      <c r="R248" s="75" t="s">
        <v>607</v>
      </c>
      <c r="S248" s="95">
        <v>1</v>
      </c>
      <c r="T248" s="63">
        <f>900000-(900000*12/112)</f>
        <v>803571.42857142852</v>
      </c>
      <c r="U248" s="63">
        <v>0</v>
      </c>
      <c r="V248" s="64">
        <f t="shared" si="41"/>
        <v>0</v>
      </c>
      <c r="W248" s="69"/>
      <c r="X248" s="71">
        <v>2018</v>
      </c>
      <c r="Y248" s="72" t="s">
        <v>751</v>
      </c>
      <c r="Z248" s="102"/>
      <c r="AA248" s="102"/>
      <c r="AB248" s="10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96.6">
      <c r="A249" s="3"/>
      <c r="B249" s="85" t="s">
        <v>746</v>
      </c>
      <c r="C249" s="75" t="s">
        <v>36</v>
      </c>
      <c r="D249" s="87" t="s">
        <v>610</v>
      </c>
      <c r="E249" s="87" t="s">
        <v>815</v>
      </c>
      <c r="F249" s="74" t="s">
        <v>613</v>
      </c>
      <c r="G249" s="69"/>
      <c r="H249" s="75" t="s">
        <v>40</v>
      </c>
      <c r="I249" s="69">
        <v>100</v>
      </c>
      <c r="J249" s="68">
        <v>710000000</v>
      </c>
      <c r="K249" s="75" t="s">
        <v>41</v>
      </c>
      <c r="L249" s="68" t="s">
        <v>736</v>
      </c>
      <c r="M249" s="75" t="s">
        <v>42</v>
      </c>
      <c r="N249" s="68"/>
      <c r="O249" s="66" t="s">
        <v>742</v>
      </c>
      <c r="P249" s="20" t="s">
        <v>302</v>
      </c>
      <c r="Q249" s="69"/>
      <c r="R249" s="75" t="s">
        <v>607</v>
      </c>
      <c r="S249" s="95">
        <v>1</v>
      </c>
      <c r="T249" s="63">
        <f>300000-(300000*12/112)</f>
        <v>267857.14285714284</v>
      </c>
      <c r="U249" s="63">
        <f t="shared" ref="U249" si="42">S249*T249</f>
        <v>267857.14285714284</v>
      </c>
      <c r="V249" s="64">
        <f t="shared" si="41"/>
        <v>300000</v>
      </c>
      <c r="W249" s="69"/>
      <c r="X249" s="71">
        <v>2018</v>
      </c>
      <c r="Y249" s="72"/>
      <c r="Z249" s="102"/>
      <c r="AA249" s="102"/>
      <c r="AB249" s="10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52.8">
      <c r="A250" s="3"/>
      <c r="B250" s="69" t="s">
        <v>614</v>
      </c>
      <c r="C250" s="75" t="s">
        <v>36</v>
      </c>
      <c r="D250" s="75" t="s">
        <v>615</v>
      </c>
      <c r="E250" s="68" t="s">
        <v>616</v>
      </c>
      <c r="F250" s="68" t="s">
        <v>617</v>
      </c>
      <c r="G250" s="77"/>
      <c r="H250" s="75" t="s">
        <v>40</v>
      </c>
      <c r="I250" s="69">
        <v>100</v>
      </c>
      <c r="J250" s="68">
        <v>710000000</v>
      </c>
      <c r="K250" s="75" t="s">
        <v>41</v>
      </c>
      <c r="L250" s="68" t="s">
        <v>736</v>
      </c>
      <c r="M250" s="75" t="s">
        <v>42</v>
      </c>
      <c r="N250" s="68"/>
      <c r="O250" s="76" t="s">
        <v>301</v>
      </c>
      <c r="P250" s="20" t="s">
        <v>302</v>
      </c>
      <c r="Q250" s="77"/>
      <c r="R250" s="75" t="s">
        <v>607</v>
      </c>
      <c r="S250" s="95">
        <v>1</v>
      </c>
      <c r="T250" s="63">
        <f>45000-(45000*12/112)</f>
        <v>40178.571428571428</v>
      </c>
      <c r="U250" s="63">
        <v>0</v>
      </c>
      <c r="V250" s="64">
        <f t="shared" si="41"/>
        <v>0</v>
      </c>
      <c r="W250" s="77"/>
      <c r="X250" s="71">
        <v>2018</v>
      </c>
      <c r="Y250" s="72" t="s">
        <v>724</v>
      </c>
      <c r="Z250" s="102"/>
      <c r="AA250" s="102"/>
      <c r="AB250" s="10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52.8">
      <c r="A251" s="3"/>
      <c r="B251" s="69" t="s">
        <v>618</v>
      </c>
      <c r="C251" s="75" t="s">
        <v>36</v>
      </c>
      <c r="D251" s="75" t="s">
        <v>619</v>
      </c>
      <c r="E251" s="68" t="s">
        <v>620</v>
      </c>
      <c r="F251" s="68" t="s">
        <v>621</v>
      </c>
      <c r="G251" s="77"/>
      <c r="H251" s="75" t="s">
        <v>40</v>
      </c>
      <c r="I251" s="69">
        <v>100</v>
      </c>
      <c r="J251" s="68">
        <v>710000000</v>
      </c>
      <c r="K251" s="75" t="s">
        <v>41</v>
      </c>
      <c r="L251" s="68" t="s">
        <v>736</v>
      </c>
      <c r="M251" s="75" t="s">
        <v>42</v>
      </c>
      <c r="N251" s="68"/>
      <c r="O251" s="76" t="s">
        <v>301</v>
      </c>
      <c r="P251" s="20" t="s">
        <v>302</v>
      </c>
      <c r="Q251" s="77"/>
      <c r="R251" s="75" t="s">
        <v>607</v>
      </c>
      <c r="S251" s="95">
        <v>1</v>
      </c>
      <c r="T251" s="63">
        <f>179250-(179250*12/112)</f>
        <v>160044.64285714287</v>
      </c>
      <c r="U251" s="63">
        <f t="shared" ref="U251" si="43">S251*T251</f>
        <v>160044.64285714287</v>
      </c>
      <c r="V251" s="64">
        <f t="shared" si="41"/>
        <v>179250</v>
      </c>
      <c r="W251" s="77"/>
      <c r="X251" s="71">
        <v>2018</v>
      </c>
      <c r="Y251" s="72"/>
      <c r="Z251" s="102"/>
      <c r="AA251" s="102"/>
      <c r="AB251" s="10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52.8">
      <c r="B252" s="69" t="s">
        <v>622</v>
      </c>
      <c r="C252" s="75" t="s">
        <v>36</v>
      </c>
      <c r="D252" s="74" t="s">
        <v>623</v>
      </c>
      <c r="E252" s="68" t="s">
        <v>624</v>
      </c>
      <c r="F252" s="68" t="s">
        <v>625</v>
      </c>
      <c r="G252" s="77"/>
      <c r="H252" s="75" t="s">
        <v>40</v>
      </c>
      <c r="I252" s="69">
        <v>100</v>
      </c>
      <c r="J252" s="68">
        <v>710000000</v>
      </c>
      <c r="K252" s="75" t="s">
        <v>41</v>
      </c>
      <c r="L252" s="68" t="s">
        <v>736</v>
      </c>
      <c r="M252" s="75" t="s">
        <v>42</v>
      </c>
      <c r="N252" s="68"/>
      <c r="O252" s="76" t="s">
        <v>301</v>
      </c>
      <c r="P252" s="20" t="s">
        <v>302</v>
      </c>
      <c r="Q252" s="77"/>
      <c r="R252" s="75" t="s">
        <v>607</v>
      </c>
      <c r="S252" s="95">
        <v>1</v>
      </c>
      <c r="T252" s="63">
        <f>28000-(28000*12/112)</f>
        <v>25000</v>
      </c>
      <c r="U252" s="63">
        <v>0</v>
      </c>
      <c r="V252" s="64">
        <f>U252+(U252*12%)</f>
        <v>0</v>
      </c>
      <c r="W252" s="77"/>
      <c r="X252" s="71">
        <v>2018</v>
      </c>
      <c r="Y252" s="72" t="s">
        <v>724</v>
      </c>
    </row>
    <row r="253" spans="1:39" ht="52.8">
      <c r="B253" s="69" t="s">
        <v>626</v>
      </c>
      <c r="C253" s="75" t="s">
        <v>36</v>
      </c>
      <c r="D253" s="74" t="s">
        <v>627</v>
      </c>
      <c r="E253" s="68" t="s">
        <v>628</v>
      </c>
      <c r="F253" s="68" t="s">
        <v>629</v>
      </c>
      <c r="G253" s="77"/>
      <c r="H253" s="75" t="s">
        <v>40</v>
      </c>
      <c r="I253" s="69">
        <v>100</v>
      </c>
      <c r="J253" s="68">
        <v>710000000</v>
      </c>
      <c r="K253" s="75" t="s">
        <v>41</v>
      </c>
      <c r="L253" s="68" t="s">
        <v>736</v>
      </c>
      <c r="M253" s="75" t="s">
        <v>42</v>
      </c>
      <c r="N253" s="68"/>
      <c r="O253" s="76" t="s">
        <v>301</v>
      </c>
      <c r="P253" s="20" t="s">
        <v>302</v>
      </c>
      <c r="Q253" s="77"/>
      <c r="R253" s="75" t="s">
        <v>607</v>
      </c>
      <c r="S253" s="95">
        <v>1</v>
      </c>
      <c r="T253" s="63">
        <f>15000-(15000*12/112)</f>
        <v>13392.857142857143</v>
      </c>
      <c r="U253" s="63">
        <v>0</v>
      </c>
      <c r="V253" s="64">
        <f>U253+(U253*12%)</f>
        <v>0</v>
      </c>
      <c r="W253" s="77"/>
      <c r="X253" s="71">
        <v>2018</v>
      </c>
      <c r="Y253" s="72" t="s">
        <v>724</v>
      </c>
    </row>
    <row r="254" spans="1:39" ht="52.8">
      <c r="B254" s="69" t="s">
        <v>799</v>
      </c>
      <c r="C254" s="75" t="s">
        <v>36</v>
      </c>
      <c r="D254" s="68" t="s">
        <v>637</v>
      </c>
      <c r="E254" s="68" t="s">
        <v>638</v>
      </c>
      <c r="F254" s="68" t="s">
        <v>639</v>
      </c>
      <c r="G254" s="77"/>
      <c r="H254" s="75" t="s">
        <v>40</v>
      </c>
      <c r="I254" s="69">
        <v>100</v>
      </c>
      <c r="J254" s="68">
        <v>710000000</v>
      </c>
      <c r="K254" s="75" t="s">
        <v>41</v>
      </c>
      <c r="L254" s="68" t="s">
        <v>736</v>
      </c>
      <c r="M254" s="75" t="s">
        <v>42</v>
      </c>
      <c r="N254" s="68"/>
      <c r="O254" s="76" t="s">
        <v>301</v>
      </c>
      <c r="P254" s="20" t="s">
        <v>302</v>
      </c>
      <c r="Q254" s="77"/>
      <c r="R254" s="75" t="s">
        <v>607</v>
      </c>
      <c r="S254" s="95">
        <v>1</v>
      </c>
      <c r="T254" s="63">
        <f>250000-(250000*12/112)</f>
        <v>223214.28571428571</v>
      </c>
      <c r="U254" s="63">
        <f t="shared" ref="U254" si="44">S254*T254</f>
        <v>223214.28571428571</v>
      </c>
      <c r="V254" s="64">
        <f t="shared" ref="V254" si="45">U254+(U254*12%)</f>
        <v>250000</v>
      </c>
      <c r="W254" s="77"/>
      <c r="X254" s="71">
        <v>2018</v>
      </c>
      <c r="Y254" s="72"/>
    </row>
    <row r="255" spans="1:39" ht="52.8">
      <c r="B255" s="69" t="s">
        <v>800</v>
      </c>
      <c r="C255" s="75" t="s">
        <v>36</v>
      </c>
      <c r="D255" s="88" t="s">
        <v>641</v>
      </c>
      <c r="E255" s="68" t="s">
        <v>642</v>
      </c>
      <c r="F255" s="68" t="s">
        <v>643</v>
      </c>
      <c r="G255" s="69"/>
      <c r="H255" s="75" t="s">
        <v>40</v>
      </c>
      <c r="I255" s="69">
        <v>100</v>
      </c>
      <c r="J255" s="68">
        <v>710000000</v>
      </c>
      <c r="K255" s="75" t="s">
        <v>41</v>
      </c>
      <c r="L255" s="68" t="s">
        <v>736</v>
      </c>
      <c r="M255" s="75" t="s">
        <v>42</v>
      </c>
      <c r="N255" s="68"/>
      <c r="O255" s="76" t="s">
        <v>301</v>
      </c>
      <c r="P255" s="20" t="s">
        <v>302</v>
      </c>
      <c r="Q255" s="69"/>
      <c r="R255" s="75" t="s">
        <v>607</v>
      </c>
      <c r="S255" s="95">
        <v>1</v>
      </c>
      <c r="T255" s="63">
        <f>100000-(100000*12/112)</f>
        <v>89285.71428571429</v>
      </c>
      <c r="U255" s="63">
        <v>0</v>
      </c>
      <c r="V255" s="64">
        <f t="shared" ref="V255:V256" si="46">U255+(U255*12%)</f>
        <v>0</v>
      </c>
      <c r="W255" s="69"/>
      <c r="X255" s="71">
        <v>2018</v>
      </c>
      <c r="Y255" s="72" t="s">
        <v>724</v>
      </c>
    </row>
    <row r="256" spans="1:39" ht="118.8">
      <c r="B256" s="69" t="s">
        <v>801</v>
      </c>
      <c r="C256" s="75" t="s">
        <v>36</v>
      </c>
      <c r="D256" s="89" t="s">
        <v>752</v>
      </c>
      <c r="E256" s="68" t="s">
        <v>753</v>
      </c>
      <c r="F256" s="68" t="s">
        <v>754</v>
      </c>
      <c r="G256" s="69"/>
      <c r="H256" s="75" t="s">
        <v>40</v>
      </c>
      <c r="I256" s="69">
        <v>100</v>
      </c>
      <c r="J256" s="68">
        <v>710000000</v>
      </c>
      <c r="K256" s="75" t="s">
        <v>41</v>
      </c>
      <c r="L256" s="68" t="s">
        <v>736</v>
      </c>
      <c r="M256" s="75" t="s">
        <v>42</v>
      </c>
      <c r="N256" s="68"/>
      <c r="O256" s="76" t="s">
        <v>301</v>
      </c>
      <c r="P256" s="20" t="s">
        <v>302</v>
      </c>
      <c r="Q256" s="69"/>
      <c r="R256" s="75" t="s">
        <v>607</v>
      </c>
      <c r="S256" s="95">
        <v>1</v>
      </c>
      <c r="T256" s="63">
        <f>250000-(250000*12/112)</f>
        <v>223214.28571428571</v>
      </c>
      <c r="U256" s="63">
        <v>0</v>
      </c>
      <c r="V256" s="64">
        <f t="shared" si="46"/>
        <v>0</v>
      </c>
      <c r="W256" s="69"/>
      <c r="X256" s="71">
        <v>2018</v>
      </c>
      <c r="Y256" s="72" t="s">
        <v>724</v>
      </c>
    </row>
    <row r="257" spans="1:39" ht="52.8">
      <c r="B257" s="69" t="s">
        <v>802</v>
      </c>
      <c r="C257" s="75" t="s">
        <v>36</v>
      </c>
      <c r="D257" s="67" t="s">
        <v>710</v>
      </c>
      <c r="E257" s="68" t="s">
        <v>711</v>
      </c>
      <c r="F257" s="68" t="s">
        <v>711</v>
      </c>
      <c r="G257" s="69"/>
      <c r="H257" s="75" t="s">
        <v>40</v>
      </c>
      <c r="I257" s="69">
        <v>100</v>
      </c>
      <c r="J257" s="68">
        <v>710000000</v>
      </c>
      <c r="K257" s="75" t="s">
        <v>41</v>
      </c>
      <c r="L257" s="68" t="s">
        <v>736</v>
      </c>
      <c r="M257" s="75" t="s">
        <v>42</v>
      </c>
      <c r="N257" s="68"/>
      <c r="O257" s="70" t="s">
        <v>740</v>
      </c>
      <c r="P257" s="20" t="s">
        <v>302</v>
      </c>
      <c r="Q257" s="69"/>
      <c r="R257" s="75" t="s">
        <v>607</v>
      </c>
      <c r="S257" s="95">
        <v>1</v>
      </c>
      <c r="T257" s="63">
        <f>120000-(120000*12/112)</f>
        <v>107142.85714285714</v>
      </c>
      <c r="U257" s="63">
        <f t="shared" ref="U257" si="47">S257*T257</f>
        <v>107142.85714285714</v>
      </c>
      <c r="V257" s="64">
        <f>U257+(U257*12%)</f>
        <v>120000</v>
      </c>
      <c r="W257" s="69"/>
      <c r="X257" s="71">
        <v>2018</v>
      </c>
      <c r="Y257" s="72"/>
    </row>
    <row r="258" spans="1:39" ht="52.8">
      <c r="B258" s="69" t="s">
        <v>636</v>
      </c>
      <c r="C258" s="75" t="s">
        <v>36</v>
      </c>
      <c r="D258" s="67" t="s">
        <v>706</v>
      </c>
      <c r="E258" s="68" t="s">
        <v>707</v>
      </c>
      <c r="F258" s="68" t="s">
        <v>744</v>
      </c>
      <c r="G258" s="69"/>
      <c r="H258" s="75" t="s">
        <v>40</v>
      </c>
      <c r="I258" s="69">
        <v>100</v>
      </c>
      <c r="J258" s="68">
        <v>710000000</v>
      </c>
      <c r="K258" s="75" t="s">
        <v>41</v>
      </c>
      <c r="L258" s="68" t="s">
        <v>736</v>
      </c>
      <c r="M258" s="75" t="s">
        <v>42</v>
      </c>
      <c r="N258" s="68"/>
      <c r="O258" s="70" t="s">
        <v>745</v>
      </c>
      <c r="P258" s="20" t="s">
        <v>302</v>
      </c>
      <c r="Q258" s="69"/>
      <c r="R258" s="75" t="s">
        <v>607</v>
      </c>
      <c r="S258" s="95">
        <v>1</v>
      </c>
      <c r="T258" s="63">
        <f>7291200-(7291200*12/112)</f>
        <v>6510000</v>
      </c>
      <c r="U258" s="63">
        <v>0</v>
      </c>
      <c r="V258" s="64">
        <f>U258+(U258*12%)</f>
        <v>0</v>
      </c>
      <c r="W258" s="69"/>
      <c r="X258" s="71">
        <v>2018</v>
      </c>
      <c r="Y258" s="72" t="s">
        <v>751</v>
      </c>
    </row>
    <row r="259" spans="1:39" ht="52.8">
      <c r="B259" s="69" t="s">
        <v>803</v>
      </c>
      <c r="C259" s="75" t="s">
        <v>36</v>
      </c>
      <c r="D259" s="67" t="s">
        <v>706</v>
      </c>
      <c r="E259" s="68" t="s">
        <v>707</v>
      </c>
      <c r="F259" s="68" t="s">
        <v>744</v>
      </c>
      <c r="G259" s="69"/>
      <c r="H259" s="75" t="s">
        <v>40</v>
      </c>
      <c r="I259" s="69">
        <v>100</v>
      </c>
      <c r="J259" s="68">
        <v>710000000</v>
      </c>
      <c r="K259" s="75" t="s">
        <v>41</v>
      </c>
      <c r="L259" s="68" t="s">
        <v>736</v>
      </c>
      <c r="M259" s="75" t="s">
        <v>42</v>
      </c>
      <c r="N259" s="68"/>
      <c r="O259" s="70" t="s">
        <v>745</v>
      </c>
      <c r="P259" s="20" t="s">
        <v>302</v>
      </c>
      <c r="Q259" s="69"/>
      <c r="R259" s="75" t="s">
        <v>607</v>
      </c>
      <c r="S259" s="95">
        <v>1</v>
      </c>
      <c r="T259" s="63">
        <f>36131205.06-(36131205.06*12/112)</f>
        <v>32260004.517857146</v>
      </c>
      <c r="U259" s="63">
        <f t="shared" ref="U259:U289" si="48">S259*T259</f>
        <v>32260004.517857146</v>
      </c>
      <c r="V259" s="64">
        <f>U259+(U259*12%)</f>
        <v>36131205.060000002</v>
      </c>
      <c r="W259" s="69"/>
      <c r="X259" s="71">
        <v>2018</v>
      </c>
      <c r="Y259" s="72"/>
    </row>
    <row r="260" spans="1:39" s="73" customFormat="1" ht="92.4">
      <c r="A260" s="65"/>
      <c r="B260" s="69" t="s">
        <v>640</v>
      </c>
      <c r="C260" s="75" t="s">
        <v>36</v>
      </c>
      <c r="D260" s="67" t="s">
        <v>747</v>
      </c>
      <c r="E260" s="68" t="s">
        <v>748</v>
      </c>
      <c r="F260" s="68" t="s">
        <v>749</v>
      </c>
      <c r="G260" s="69"/>
      <c r="H260" s="75" t="s">
        <v>40</v>
      </c>
      <c r="I260" s="69">
        <v>100</v>
      </c>
      <c r="J260" s="68">
        <v>710000000</v>
      </c>
      <c r="K260" s="75" t="s">
        <v>41</v>
      </c>
      <c r="L260" s="68" t="s">
        <v>750</v>
      </c>
      <c r="M260" s="75" t="s">
        <v>42</v>
      </c>
      <c r="N260" s="68"/>
      <c r="O260" s="76" t="s">
        <v>301</v>
      </c>
      <c r="P260" s="20" t="s">
        <v>302</v>
      </c>
      <c r="Q260" s="69"/>
      <c r="R260" s="75" t="s">
        <v>607</v>
      </c>
      <c r="S260" s="95">
        <v>1</v>
      </c>
      <c r="T260" s="63">
        <f>947800-(947800*12/112)</f>
        <v>846250</v>
      </c>
      <c r="U260" s="63">
        <f t="shared" si="48"/>
        <v>846250</v>
      </c>
      <c r="V260" s="64">
        <f>U260+(U260*12%)</f>
        <v>947800</v>
      </c>
      <c r="W260" s="69"/>
      <c r="X260" s="71">
        <v>2018</v>
      </c>
      <c r="Y260" s="72"/>
      <c r="Z260" s="104"/>
      <c r="AA260" s="104"/>
      <c r="AB260" s="104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</row>
    <row r="261" spans="1:39" ht="132">
      <c r="A261" s="3"/>
      <c r="B261" s="66" t="s">
        <v>644</v>
      </c>
      <c r="C261" s="66" t="s">
        <v>36</v>
      </c>
      <c r="D261" s="66" t="s">
        <v>604</v>
      </c>
      <c r="E261" s="68" t="s">
        <v>605</v>
      </c>
      <c r="F261" s="68" t="s">
        <v>645</v>
      </c>
      <c r="G261" s="68"/>
      <c r="H261" s="66" t="s">
        <v>40</v>
      </c>
      <c r="I261" s="66">
        <v>100</v>
      </c>
      <c r="J261" s="68">
        <v>710000000</v>
      </c>
      <c r="K261" s="66" t="s">
        <v>41</v>
      </c>
      <c r="L261" s="75" t="s">
        <v>386</v>
      </c>
      <c r="M261" s="66" t="s">
        <v>42</v>
      </c>
      <c r="N261" s="68"/>
      <c r="O261" s="76" t="s">
        <v>301</v>
      </c>
      <c r="P261" s="20" t="s">
        <v>302</v>
      </c>
      <c r="Q261" s="66"/>
      <c r="R261" s="66" t="s">
        <v>607</v>
      </c>
      <c r="S261" s="99">
        <v>1</v>
      </c>
      <c r="T261" s="63">
        <f>804300-(804300*12/112)</f>
        <v>718125</v>
      </c>
      <c r="U261" s="63">
        <f t="shared" si="48"/>
        <v>718125</v>
      </c>
      <c r="V261" s="64">
        <f t="shared" ref="V261:V289" si="49">U261+(U261*12%)</f>
        <v>804300</v>
      </c>
      <c r="W261" s="71"/>
      <c r="X261" s="71">
        <v>2018</v>
      </c>
      <c r="Y261" s="72"/>
      <c r="Z261" s="102"/>
      <c r="AA261" s="102"/>
      <c r="AB261" s="10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198">
      <c r="A262" s="3"/>
      <c r="B262" s="66" t="s">
        <v>646</v>
      </c>
      <c r="C262" s="66" t="s">
        <v>36</v>
      </c>
      <c r="D262" s="66" t="s">
        <v>608</v>
      </c>
      <c r="E262" s="66" t="s">
        <v>609</v>
      </c>
      <c r="F262" s="66" t="s">
        <v>647</v>
      </c>
      <c r="G262" s="66"/>
      <c r="H262" s="66" t="s">
        <v>40</v>
      </c>
      <c r="I262" s="66">
        <v>100</v>
      </c>
      <c r="J262" s="68">
        <v>710000000</v>
      </c>
      <c r="K262" s="66" t="s">
        <v>41</v>
      </c>
      <c r="L262" s="75" t="s">
        <v>386</v>
      </c>
      <c r="M262" s="66" t="s">
        <v>42</v>
      </c>
      <c r="N262" s="68"/>
      <c r="O262" s="76" t="s">
        <v>301</v>
      </c>
      <c r="P262" s="66" t="s">
        <v>648</v>
      </c>
      <c r="Q262" s="66"/>
      <c r="R262" s="66" t="s">
        <v>607</v>
      </c>
      <c r="S262" s="99">
        <v>1</v>
      </c>
      <c r="T262" s="63">
        <f>819000-(819000*12/112)</f>
        <v>731250</v>
      </c>
      <c r="U262" s="63">
        <f t="shared" si="48"/>
        <v>731250</v>
      </c>
      <c r="V262" s="64">
        <f t="shared" si="49"/>
        <v>819000</v>
      </c>
      <c r="W262" s="71"/>
      <c r="X262" s="71">
        <v>2018</v>
      </c>
      <c r="Y262" s="72"/>
      <c r="Z262" s="102"/>
      <c r="AA262" s="102"/>
      <c r="AB262" s="10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52.8">
      <c r="A263" s="3"/>
      <c r="B263" s="66" t="s">
        <v>649</v>
      </c>
      <c r="C263" s="66" t="s">
        <v>36</v>
      </c>
      <c r="D263" s="74" t="s">
        <v>610</v>
      </c>
      <c r="E263" s="66" t="s">
        <v>823</v>
      </c>
      <c r="F263" s="74" t="s">
        <v>814</v>
      </c>
      <c r="G263" s="90"/>
      <c r="H263" s="75" t="s">
        <v>442</v>
      </c>
      <c r="I263" s="69">
        <v>100</v>
      </c>
      <c r="J263" s="68">
        <v>710000000</v>
      </c>
      <c r="K263" s="75" t="s">
        <v>41</v>
      </c>
      <c r="L263" s="75" t="s">
        <v>300</v>
      </c>
      <c r="M263" s="75" t="s">
        <v>42</v>
      </c>
      <c r="N263" s="68"/>
      <c r="O263" s="76" t="s">
        <v>301</v>
      </c>
      <c r="P263" s="20" t="s">
        <v>302</v>
      </c>
      <c r="Q263" s="66"/>
      <c r="R263" s="75" t="s">
        <v>607</v>
      </c>
      <c r="S263" s="95">
        <v>1</v>
      </c>
      <c r="T263" s="63">
        <f>7560000-(7560000*12/112)</f>
        <v>6750000</v>
      </c>
      <c r="U263" s="63">
        <f t="shared" si="48"/>
        <v>6750000</v>
      </c>
      <c r="V263" s="64">
        <f t="shared" si="49"/>
        <v>7560000</v>
      </c>
      <c r="W263" s="69"/>
      <c r="X263" s="71">
        <v>2018</v>
      </c>
      <c r="Y263" s="72"/>
      <c r="Z263" s="102"/>
      <c r="AA263" s="102"/>
      <c r="AB263" s="10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66">
      <c r="A264" s="3"/>
      <c r="B264" s="66" t="s">
        <v>650</v>
      </c>
      <c r="C264" s="66" t="s">
        <v>36</v>
      </c>
      <c r="D264" s="74" t="s">
        <v>610</v>
      </c>
      <c r="E264" s="66" t="s">
        <v>823</v>
      </c>
      <c r="F264" s="74" t="s">
        <v>814</v>
      </c>
      <c r="G264" s="90"/>
      <c r="H264" s="75" t="s">
        <v>442</v>
      </c>
      <c r="I264" s="69">
        <v>100</v>
      </c>
      <c r="J264" s="68">
        <v>710000000</v>
      </c>
      <c r="K264" s="75" t="s">
        <v>41</v>
      </c>
      <c r="L264" s="75" t="s">
        <v>670</v>
      </c>
      <c r="M264" s="75" t="s">
        <v>42</v>
      </c>
      <c r="N264" s="68"/>
      <c r="O264" s="76" t="s">
        <v>816</v>
      </c>
      <c r="P264" s="20" t="s">
        <v>302</v>
      </c>
      <c r="Q264" s="66"/>
      <c r="R264" s="75" t="s">
        <v>607</v>
      </c>
      <c r="S264" s="95">
        <v>1</v>
      </c>
      <c r="T264" s="63">
        <v>2892857</v>
      </c>
      <c r="U264" s="63">
        <f t="shared" si="48"/>
        <v>2892857</v>
      </c>
      <c r="V264" s="64">
        <f t="shared" si="49"/>
        <v>3239999.84</v>
      </c>
      <c r="W264" s="69"/>
      <c r="X264" s="71">
        <v>2018</v>
      </c>
      <c r="Y264" s="72"/>
      <c r="Z264" s="102"/>
      <c r="AA264" s="102"/>
      <c r="AB264" s="10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52.8">
      <c r="A265" s="3"/>
      <c r="B265" s="66" t="s">
        <v>652</v>
      </c>
      <c r="C265" s="86" t="s">
        <v>36</v>
      </c>
      <c r="D265" s="87" t="s">
        <v>610</v>
      </c>
      <c r="E265" s="66" t="s">
        <v>823</v>
      </c>
      <c r="F265" s="66" t="s">
        <v>815</v>
      </c>
      <c r="G265" s="69"/>
      <c r="H265" s="75" t="s">
        <v>442</v>
      </c>
      <c r="I265" s="69">
        <v>100</v>
      </c>
      <c r="J265" s="68">
        <v>710000000</v>
      </c>
      <c r="K265" s="75" t="s">
        <v>41</v>
      </c>
      <c r="L265" s="75" t="s">
        <v>300</v>
      </c>
      <c r="M265" s="75" t="s">
        <v>42</v>
      </c>
      <c r="N265" s="68"/>
      <c r="O265" s="76" t="s">
        <v>301</v>
      </c>
      <c r="P265" s="20" t="s">
        <v>302</v>
      </c>
      <c r="Q265" s="66"/>
      <c r="R265" s="75" t="s">
        <v>607</v>
      </c>
      <c r="S265" s="95">
        <v>1</v>
      </c>
      <c r="T265" s="63">
        <f>3360000-(3360000*12/112)</f>
        <v>3000000</v>
      </c>
      <c r="U265" s="63">
        <f t="shared" si="48"/>
        <v>3000000</v>
      </c>
      <c r="V265" s="64">
        <f t="shared" si="49"/>
        <v>3360000</v>
      </c>
      <c r="W265" s="69"/>
      <c r="X265" s="71">
        <v>2018</v>
      </c>
      <c r="Y265" s="72"/>
      <c r="Z265" s="102"/>
      <c r="AA265" s="102"/>
      <c r="AB265" s="10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66">
      <c r="A266" s="3"/>
      <c r="B266" s="66" t="s">
        <v>653</v>
      </c>
      <c r="C266" s="75" t="s">
        <v>36</v>
      </c>
      <c r="D266" s="87" t="s">
        <v>610</v>
      </c>
      <c r="E266" s="66" t="s">
        <v>823</v>
      </c>
      <c r="F266" s="66" t="s">
        <v>815</v>
      </c>
      <c r="G266" s="69"/>
      <c r="H266" s="75" t="s">
        <v>442</v>
      </c>
      <c r="I266" s="69">
        <v>100</v>
      </c>
      <c r="J266" s="68">
        <v>710000000</v>
      </c>
      <c r="K266" s="75" t="s">
        <v>41</v>
      </c>
      <c r="L266" s="75" t="s">
        <v>670</v>
      </c>
      <c r="M266" s="75" t="s">
        <v>42</v>
      </c>
      <c r="N266" s="68"/>
      <c r="O266" s="76" t="s">
        <v>816</v>
      </c>
      <c r="P266" s="20" t="s">
        <v>302</v>
      </c>
      <c r="Q266" s="66"/>
      <c r="R266" s="75" t="s">
        <v>607</v>
      </c>
      <c r="S266" s="95">
        <v>1</v>
      </c>
      <c r="T266" s="63">
        <v>1285714</v>
      </c>
      <c r="U266" s="63">
        <f t="shared" si="48"/>
        <v>1285714</v>
      </c>
      <c r="V266" s="64">
        <f t="shared" si="49"/>
        <v>1439999.68</v>
      </c>
      <c r="W266" s="69"/>
      <c r="X266" s="71">
        <v>2018</v>
      </c>
      <c r="Y266" s="72"/>
      <c r="Z266" s="102"/>
      <c r="AA266" s="102"/>
      <c r="AB266" s="10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52.8">
      <c r="A267" s="3"/>
      <c r="B267" s="66" t="s">
        <v>656</v>
      </c>
      <c r="C267" s="86" t="s">
        <v>36</v>
      </c>
      <c r="D267" s="87" t="s">
        <v>610</v>
      </c>
      <c r="E267" s="66" t="s">
        <v>823</v>
      </c>
      <c r="F267" s="74" t="s">
        <v>651</v>
      </c>
      <c r="G267" s="69"/>
      <c r="H267" s="75" t="s">
        <v>442</v>
      </c>
      <c r="I267" s="69">
        <v>100</v>
      </c>
      <c r="J267" s="68">
        <v>710000000</v>
      </c>
      <c r="K267" s="75" t="s">
        <v>41</v>
      </c>
      <c r="L267" s="75" t="s">
        <v>386</v>
      </c>
      <c r="M267" s="75" t="s">
        <v>42</v>
      </c>
      <c r="N267" s="68"/>
      <c r="O267" s="76" t="s">
        <v>301</v>
      </c>
      <c r="P267" s="20" t="s">
        <v>302</v>
      </c>
      <c r="Q267" s="66"/>
      <c r="R267" s="75" t="s">
        <v>607</v>
      </c>
      <c r="S267" s="95">
        <v>1</v>
      </c>
      <c r="T267" s="63">
        <v>4285714</v>
      </c>
      <c r="U267" s="63">
        <f t="shared" si="48"/>
        <v>4285714</v>
      </c>
      <c r="V267" s="64">
        <f t="shared" si="49"/>
        <v>4799999.68</v>
      </c>
      <c r="W267" s="69"/>
      <c r="X267" s="71">
        <v>2018</v>
      </c>
      <c r="Y267" s="72"/>
      <c r="Z267" s="102"/>
      <c r="AA267" s="102"/>
      <c r="AB267" s="10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79.2">
      <c r="A268" s="3"/>
      <c r="B268" s="66" t="s">
        <v>658</v>
      </c>
      <c r="C268" s="75" t="s">
        <v>36</v>
      </c>
      <c r="D268" s="75" t="s">
        <v>615</v>
      </c>
      <c r="E268" s="68" t="s">
        <v>654</v>
      </c>
      <c r="F268" s="68" t="s">
        <v>655</v>
      </c>
      <c r="G268" s="68"/>
      <c r="H268" s="75" t="s">
        <v>593</v>
      </c>
      <c r="I268" s="69">
        <v>100</v>
      </c>
      <c r="J268" s="68">
        <v>710000000</v>
      </c>
      <c r="K268" s="75" t="s">
        <v>41</v>
      </c>
      <c r="L268" s="75" t="s">
        <v>386</v>
      </c>
      <c r="M268" s="75" t="s">
        <v>42</v>
      </c>
      <c r="N268" s="68"/>
      <c r="O268" s="76" t="s">
        <v>301</v>
      </c>
      <c r="P268" s="20" t="s">
        <v>302</v>
      </c>
      <c r="Q268" s="66"/>
      <c r="R268" s="75" t="s">
        <v>607</v>
      </c>
      <c r="S268" s="95">
        <v>1</v>
      </c>
      <c r="T268" s="63">
        <v>133928</v>
      </c>
      <c r="U268" s="63">
        <f t="shared" si="48"/>
        <v>133928</v>
      </c>
      <c r="V268" s="64">
        <f t="shared" si="49"/>
        <v>149999.35999999999</v>
      </c>
      <c r="W268" s="77"/>
      <c r="X268" s="71">
        <v>2018</v>
      </c>
      <c r="Y268" s="72"/>
      <c r="Z268" s="102"/>
      <c r="AA268" s="102"/>
      <c r="AB268" s="10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79.2">
      <c r="A269" s="3"/>
      <c r="B269" s="66" t="s">
        <v>660</v>
      </c>
      <c r="C269" s="75" t="s">
        <v>36</v>
      </c>
      <c r="D269" s="75" t="s">
        <v>615</v>
      </c>
      <c r="E269" s="68" t="s">
        <v>654</v>
      </c>
      <c r="F269" s="68" t="s">
        <v>657</v>
      </c>
      <c r="G269" s="68"/>
      <c r="H269" s="75" t="s">
        <v>593</v>
      </c>
      <c r="I269" s="69">
        <v>100</v>
      </c>
      <c r="J269" s="68">
        <v>710000000</v>
      </c>
      <c r="K269" s="75" t="s">
        <v>41</v>
      </c>
      <c r="L269" s="75" t="s">
        <v>386</v>
      </c>
      <c r="M269" s="75" t="s">
        <v>42</v>
      </c>
      <c r="N269" s="68"/>
      <c r="O269" s="76" t="s">
        <v>301</v>
      </c>
      <c r="P269" s="20" t="s">
        <v>302</v>
      </c>
      <c r="Q269" s="66"/>
      <c r="R269" s="75" t="s">
        <v>607</v>
      </c>
      <c r="S269" s="95">
        <v>1</v>
      </c>
      <c r="T269" s="63">
        <v>4464285</v>
      </c>
      <c r="U269" s="63">
        <f t="shared" si="48"/>
        <v>4464285</v>
      </c>
      <c r="V269" s="64">
        <f t="shared" si="49"/>
        <v>4999999.2</v>
      </c>
      <c r="W269" s="77"/>
      <c r="X269" s="71">
        <v>2018</v>
      </c>
      <c r="Y269" s="72"/>
      <c r="Z269" s="102"/>
      <c r="AA269" s="102"/>
      <c r="AB269" s="10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79.2">
      <c r="A270" s="3"/>
      <c r="B270" s="66" t="s">
        <v>662</v>
      </c>
      <c r="C270" s="75" t="s">
        <v>36</v>
      </c>
      <c r="D270" s="75" t="s">
        <v>615</v>
      </c>
      <c r="E270" s="68" t="s">
        <v>654</v>
      </c>
      <c r="F270" s="68" t="s">
        <v>659</v>
      </c>
      <c r="G270" s="68"/>
      <c r="H270" s="75" t="s">
        <v>593</v>
      </c>
      <c r="I270" s="69">
        <v>100</v>
      </c>
      <c r="J270" s="68">
        <v>710000000</v>
      </c>
      <c r="K270" s="75" t="s">
        <v>41</v>
      </c>
      <c r="L270" s="75" t="s">
        <v>386</v>
      </c>
      <c r="M270" s="75" t="s">
        <v>42</v>
      </c>
      <c r="N270" s="68"/>
      <c r="O270" s="76" t="s">
        <v>301</v>
      </c>
      <c r="P270" s="20" t="s">
        <v>302</v>
      </c>
      <c r="Q270" s="66"/>
      <c r="R270" s="75" t="s">
        <v>607</v>
      </c>
      <c r="S270" s="95">
        <v>1</v>
      </c>
      <c r="T270" s="63">
        <v>885267</v>
      </c>
      <c r="U270" s="63">
        <f t="shared" si="48"/>
        <v>885267</v>
      </c>
      <c r="V270" s="64">
        <f>U270+(U270*12%)</f>
        <v>991499.04</v>
      </c>
      <c r="W270" s="77"/>
      <c r="X270" s="71">
        <v>2018</v>
      </c>
      <c r="Y270" s="72"/>
      <c r="Z270" s="102"/>
      <c r="AA270" s="102"/>
      <c r="AB270" s="10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79.2">
      <c r="A271" s="3"/>
      <c r="B271" s="66" t="s">
        <v>664</v>
      </c>
      <c r="C271" s="75" t="s">
        <v>36</v>
      </c>
      <c r="D271" s="75" t="s">
        <v>615</v>
      </c>
      <c r="E271" s="68" t="s">
        <v>654</v>
      </c>
      <c r="F271" s="68" t="s">
        <v>661</v>
      </c>
      <c r="G271" s="68"/>
      <c r="H271" s="75" t="s">
        <v>593</v>
      </c>
      <c r="I271" s="69">
        <v>100</v>
      </c>
      <c r="J271" s="68">
        <v>710000000</v>
      </c>
      <c r="K271" s="75" t="s">
        <v>41</v>
      </c>
      <c r="L271" s="75" t="s">
        <v>386</v>
      </c>
      <c r="M271" s="75" t="s">
        <v>42</v>
      </c>
      <c r="N271" s="68"/>
      <c r="O271" s="76" t="s">
        <v>301</v>
      </c>
      <c r="P271" s="20" t="s">
        <v>302</v>
      </c>
      <c r="Q271" s="66"/>
      <c r="R271" s="75" t="s">
        <v>607</v>
      </c>
      <c r="S271" s="95">
        <v>1</v>
      </c>
      <c r="T271" s="63">
        <v>138392</v>
      </c>
      <c r="U271" s="63">
        <f t="shared" si="48"/>
        <v>138392</v>
      </c>
      <c r="V271" s="64">
        <f t="shared" si="49"/>
        <v>154999.04000000001</v>
      </c>
      <c r="W271" s="77"/>
      <c r="X271" s="71">
        <v>2018</v>
      </c>
      <c r="Y271" s="72"/>
      <c r="Z271" s="102"/>
      <c r="AA271" s="102"/>
      <c r="AB271" s="10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79.2">
      <c r="A272" s="3"/>
      <c r="B272" s="66" t="s">
        <v>667</v>
      </c>
      <c r="C272" s="75" t="s">
        <v>36</v>
      </c>
      <c r="D272" s="75" t="s">
        <v>615</v>
      </c>
      <c r="E272" s="68" t="s">
        <v>654</v>
      </c>
      <c r="F272" s="68" t="s">
        <v>663</v>
      </c>
      <c r="G272" s="77"/>
      <c r="H272" s="75" t="s">
        <v>593</v>
      </c>
      <c r="I272" s="69">
        <v>100</v>
      </c>
      <c r="J272" s="68">
        <v>710000000</v>
      </c>
      <c r="K272" s="75" t="s">
        <v>41</v>
      </c>
      <c r="L272" s="75" t="s">
        <v>386</v>
      </c>
      <c r="M272" s="75" t="s">
        <v>42</v>
      </c>
      <c r="N272" s="68"/>
      <c r="O272" s="76" t="s">
        <v>301</v>
      </c>
      <c r="P272" s="20" t="s">
        <v>302</v>
      </c>
      <c r="Q272" s="66"/>
      <c r="R272" s="75" t="s">
        <v>607</v>
      </c>
      <c r="S272" s="95">
        <v>1</v>
      </c>
      <c r="T272" s="63">
        <v>464285</v>
      </c>
      <c r="U272" s="63">
        <f t="shared" si="48"/>
        <v>464285</v>
      </c>
      <c r="V272" s="64">
        <f t="shared" si="49"/>
        <v>519999.2</v>
      </c>
      <c r="W272" s="77"/>
      <c r="X272" s="71">
        <v>2018</v>
      </c>
      <c r="Y272" s="72"/>
      <c r="Z272" s="102"/>
      <c r="AA272" s="102"/>
      <c r="AB272" s="10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105.6">
      <c r="A273" s="3"/>
      <c r="B273" s="66" t="s">
        <v>671</v>
      </c>
      <c r="C273" s="75" t="s">
        <v>36</v>
      </c>
      <c r="D273" s="75" t="s">
        <v>619</v>
      </c>
      <c r="E273" s="68" t="s">
        <v>665</v>
      </c>
      <c r="F273" s="68" t="s">
        <v>666</v>
      </c>
      <c r="G273" s="68"/>
      <c r="H273" s="75" t="s">
        <v>593</v>
      </c>
      <c r="I273" s="69">
        <v>100</v>
      </c>
      <c r="J273" s="68">
        <v>710000000</v>
      </c>
      <c r="K273" s="75" t="s">
        <v>41</v>
      </c>
      <c r="L273" s="75" t="s">
        <v>386</v>
      </c>
      <c r="M273" s="75" t="s">
        <v>42</v>
      </c>
      <c r="N273" s="68"/>
      <c r="O273" s="76" t="s">
        <v>301</v>
      </c>
      <c r="P273" s="20" t="s">
        <v>302</v>
      </c>
      <c r="Q273" s="66"/>
      <c r="R273" s="75" t="s">
        <v>607</v>
      </c>
      <c r="S273" s="95">
        <v>1</v>
      </c>
      <c r="T273" s="63">
        <v>832928</v>
      </c>
      <c r="U273" s="63">
        <f t="shared" si="48"/>
        <v>832928</v>
      </c>
      <c r="V273" s="64">
        <f>U273+(U273*12%)</f>
        <v>932879.35999999999</v>
      </c>
      <c r="W273" s="77"/>
      <c r="X273" s="71">
        <v>2018</v>
      </c>
      <c r="Y273" s="72"/>
      <c r="Z273" s="102"/>
      <c r="AA273" s="102"/>
      <c r="AB273" s="10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52.8">
      <c r="A274" s="3"/>
      <c r="B274" s="66" t="s">
        <v>675</v>
      </c>
      <c r="C274" s="75" t="s">
        <v>36</v>
      </c>
      <c r="D274" s="74" t="s">
        <v>623</v>
      </c>
      <c r="E274" s="68" t="s">
        <v>668</v>
      </c>
      <c r="F274" s="68" t="s">
        <v>669</v>
      </c>
      <c r="G274" s="77"/>
      <c r="H274" s="75" t="s">
        <v>40</v>
      </c>
      <c r="I274" s="69">
        <v>100</v>
      </c>
      <c r="J274" s="68">
        <v>710000000</v>
      </c>
      <c r="K274" s="75" t="s">
        <v>41</v>
      </c>
      <c r="L274" s="75" t="s">
        <v>670</v>
      </c>
      <c r="M274" s="75" t="s">
        <v>42</v>
      </c>
      <c r="N274" s="68"/>
      <c r="O274" s="76" t="s">
        <v>301</v>
      </c>
      <c r="P274" s="20" t="s">
        <v>302</v>
      </c>
      <c r="Q274" s="66"/>
      <c r="R274" s="75" t="s">
        <v>607</v>
      </c>
      <c r="S274" s="95">
        <v>1</v>
      </c>
      <c r="T274" s="63">
        <v>38392</v>
      </c>
      <c r="U274" s="63">
        <f t="shared" si="48"/>
        <v>38392</v>
      </c>
      <c r="V274" s="64">
        <f t="shared" si="49"/>
        <v>42999.040000000001</v>
      </c>
      <c r="W274" s="77"/>
      <c r="X274" s="71">
        <v>2018</v>
      </c>
      <c r="Y274" s="72"/>
      <c r="Z274" s="102"/>
      <c r="AA274" s="102"/>
      <c r="AB274" s="10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66">
      <c r="A275" s="3"/>
      <c r="B275" s="66" t="s">
        <v>677</v>
      </c>
      <c r="C275" s="75" t="s">
        <v>36</v>
      </c>
      <c r="D275" s="74" t="s">
        <v>672</v>
      </c>
      <c r="E275" s="68" t="s">
        <v>673</v>
      </c>
      <c r="F275" s="68" t="s">
        <v>674</v>
      </c>
      <c r="G275" s="77"/>
      <c r="H275" s="75" t="s">
        <v>40</v>
      </c>
      <c r="I275" s="69">
        <v>100</v>
      </c>
      <c r="J275" s="68">
        <v>710000000</v>
      </c>
      <c r="K275" s="75" t="s">
        <v>41</v>
      </c>
      <c r="L275" s="75" t="s">
        <v>386</v>
      </c>
      <c r="M275" s="75" t="s">
        <v>42</v>
      </c>
      <c r="N275" s="68"/>
      <c r="O275" s="76" t="s">
        <v>301</v>
      </c>
      <c r="P275" s="20" t="s">
        <v>302</v>
      </c>
      <c r="Q275" s="66"/>
      <c r="R275" s="75" t="s">
        <v>607</v>
      </c>
      <c r="S275" s="95">
        <v>1</v>
      </c>
      <c r="T275" s="63">
        <v>89285</v>
      </c>
      <c r="U275" s="63">
        <f t="shared" si="48"/>
        <v>89285</v>
      </c>
      <c r="V275" s="64">
        <f t="shared" si="49"/>
        <v>99999.2</v>
      </c>
      <c r="W275" s="77"/>
      <c r="X275" s="71">
        <v>2018</v>
      </c>
      <c r="Y275" s="72"/>
      <c r="Z275" s="102"/>
      <c r="AA275" s="102"/>
      <c r="AB275" s="10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52.8">
      <c r="A276" s="3"/>
      <c r="B276" s="66" t="s">
        <v>679</v>
      </c>
      <c r="C276" s="75" t="s">
        <v>36</v>
      </c>
      <c r="D276" s="74" t="s">
        <v>595</v>
      </c>
      <c r="E276" s="75" t="s">
        <v>596</v>
      </c>
      <c r="F276" s="75" t="s">
        <v>676</v>
      </c>
      <c r="G276" s="75"/>
      <c r="H276" s="75" t="s">
        <v>593</v>
      </c>
      <c r="I276" s="69">
        <v>100</v>
      </c>
      <c r="J276" s="68">
        <v>710000000</v>
      </c>
      <c r="K276" s="75" t="s">
        <v>41</v>
      </c>
      <c r="L276" s="75" t="s">
        <v>386</v>
      </c>
      <c r="M276" s="75" t="s">
        <v>42</v>
      </c>
      <c r="N276" s="68"/>
      <c r="O276" s="76" t="s">
        <v>301</v>
      </c>
      <c r="P276" s="20" t="s">
        <v>302</v>
      </c>
      <c r="Q276" s="66"/>
      <c r="R276" s="75" t="s">
        <v>607</v>
      </c>
      <c r="S276" s="95">
        <v>1</v>
      </c>
      <c r="T276" s="63">
        <v>115178</v>
      </c>
      <c r="U276" s="63">
        <f t="shared" si="48"/>
        <v>115178</v>
      </c>
      <c r="V276" s="64">
        <f>U276+(U276*12%)</f>
        <v>128999.36</v>
      </c>
      <c r="W276" s="77"/>
      <c r="X276" s="71">
        <v>2018</v>
      </c>
      <c r="Y276" s="72"/>
      <c r="Z276" s="102"/>
      <c r="AA276" s="102"/>
      <c r="AB276" s="10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52.8">
      <c r="A277" s="3"/>
      <c r="B277" s="66" t="s">
        <v>682</v>
      </c>
      <c r="C277" s="75" t="s">
        <v>36</v>
      </c>
      <c r="D277" s="68" t="s">
        <v>637</v>
      </c>
      <c r="E277" s="68" t="s">
        <v>638</v>
      </c>
      <c r="F277" s="68" t="s">
        <v>678</v>
      </c>
      <c r="G277" s="77"/>
      <c r="H277" s="75" t="s">
        <v>593</v>
      </c>
      <c r="I277" s="69">
        <v>100</v>
      </c>
      <c r="J277" s="68">
        <v>710000000</v>
      </c>
      <c r="K277" s="75" t="s">
        <v>41</v>
      </c>
      <c r="L277" s="75" t="s">
        <v>386</v>
      </c>
      <c r="M277" s="75" t="s">
        <v>42</v>
      </c>
      <c r="N277" s="68"/>
      <c r="O277" s="76" t="s">
        <v>301</v>
      </c>
      <c r="P277" s="20" t="s">
        <v>302</v>
      </c>
      <c r="Q277" s="66"/>
      <c r="R277" s="75" t="s">
        <v>607</v>
      </c>
      <c r="S277" s="95">
        <v>1</v>
      </c>
      <c r="T277" s="63">
        <v>1589285</v>
      </c>
      <c r="U277" s="63">
        <f t="shared" si="48"/>
        <v>1589285</v>
      </c>
      <c r="V277" s="64">
        <f t="shared" si="49"/>
        <v>1779999.2</v>
      </c>
      <c r="W277" s="77"/>
      <c r="X277" s="71">
        <v>2018</v>
      </c>
      <c r="Y277" s="72"/>
      <c r="Z277" s="102"/>
      <c r="AA277" s="102"/>
      <c r="AB277" s="10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52.8">
      <c r="A278" s="3"/>
      <c r="B278" s="66" t="s">
        <v>687</v>
      </c>
      <c r="C278" s="75" t="s">
        <v>36</v>
      </c>
      <c r="D278" s="88" t="s">
        <v>641</v>
      </c>
      <c r="E278" s="68" t="s">
        <v>680</v>
      </c>
      <c r="F278" s="68" t="s">
        <v>681</v>
      </c>
      <c r="G278" s="69"/>
      <c r="H278" s="75" t="s">
        <v>40</v>
      </c>
      <c r="I278" s="69">
        <v>100</v>
      </c>
      <c r="J278" s="68">
        <v>710000000</v>
      </c>
      <c r="K278" s="75" t="s">
        <v>41</v>
      </c>
      <c r="L278" s="75" t="s">
        <v>386</v>
      </c>
      <c r="M278" s="75" t="s">
        <v>42</v>
      </c>
      <c r="N278" s="68"/>
      <c r="O278" s="76" t="s">
        <v>301</v>
      </c>
      <c r="P278" s="20" t="s">
        <v>302</v>
      </c>
      <c r="Q278" s="66"/>
      <c r="R278" s="75" t="s">
        <v>607</v>
      </c>
      <c r="S278" s="95">
        <v>1</v>
      </c>
      <c r="T278" s="63">
        <v>133928</v>
      </c>
      <c r="U278" s="63">
        <f t="shared" si="48"/>
        <v>133928</v>
      </c>
      <c r="V278" s="64">
        <f t="shared" si="49"/>
        <v>149999.35999999999</v>
      </c>
      <c r="W278" s="69"/>
      <c r="X278" s="71">
        <v>2018</v>
      </c>
      <c r="Y278" s="72"/>
      <c r="Z278" s="102"/>
      <c r="AA278" s="102"/>
      <c r="AB278" s="10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52.8">
      <c r="A279" s="3"/>
      <c r="B279" s="66" t="s">
        <v>691</v>
      </c>
      <c r="C279" s="75" t="s">
        <v>36</v>
      </c>
      <c r="D279" s="88" t="s">
        <v>683</v>
      </c>
      <c r="E279" s="68" t="s">
        <v>684</v>
      </c>
      <c r="F279" s="68" t="s">
        <v>685</v>
      </c>
      <c r="G279" s="69"/>
      <c r="H279" s="75" t="s">
        <v>40</v>
      </c>
      <c r="I279" s="69">
        <v>100</v>
      </c>
      <c r="J279" s="68">
        <v>710000000</v>
      </c>
      <c r="K279" s="75" t="s">
        <v>41</v>
      </c>
      <c r="L279" s="75" t="s">
        <v>386</v>
      </c>
      <c r="M279" s="75" t="s">
        <v>42</v>
      </c>
      <c r="N279" s="68"/>
      <c r="O279" s="76" t="s">
        <v>686</v>
      </c>
      <c r="P279" s="20" t="s">
        <v>302</v>
      </c>
      <c r="Q279" s="66"/>
      <c r="R279" s="75" t="s">
        <v>607</v>
      </c>
      <c r="S279" s="95">
        <v>1</v>
      </c>
      <c r="T279" s="63">
        <v>96725</v>
      </c>
      <c r="U279" s="63">
        <f t="shared" si="48"/>
        <v>96725</v>
      </c>
      <c r="V279" s="64">
        <f t="shared" si="49"/>
        <v>108332</v>
      </c>
      <c r="W279" s="69"/>
      <c r="X279" s="71">
        <v>2018</v>
      </c>
      <c r="Y279" s="72"/>
      <c r="Z279" s="102"/>
      <c r="AA279" s="102"/>
      <c r="AB279" s="10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66">
      <c r="A280" s="3"/>
      <c r="B280" s="66" t="s">
        <v>693</v>
      </c>
      <c r="C280" s="75" t="s">
        <v>36</v>
      </c>
      <c r="D280" s="88" t="s">
        <v>688</v>
      </c>
      <c r="E280" s="68" t="s">
        <v>689</v>
      </c>
      <c r="F280" s="68" t="s">
        <v>690</v>
      </c>
      <c r="G280" s="69"/>
      <c r="H280" s="75" t="s">
        <v>40</v>
      </c>
      <c r="I280" s="69">
        <v>100</v>
      </c>
      <c r="J280" s="68">
        <v>710000000</v>
      </c>
      <c r="K280" s="75" t="s">
        <v>41</v>
      </c>
      <c r="L280" s="75" t="s">
        <v>670</v>
      </c>
      <c r="M280" s="75" t="s">
        <v>42</v>
      </c>
      <c r="N280" s="68"/>
      <c r="O280" s="76" t="s">
        <v>743</v>
      </c>
      <c r="P280" s="20" t="s">
        <v>302</v>
      </c>
      <c r="Q280" s="66"/>
      <c r="R280" s="75" t="s">
        <v>607</v>
      </c>
      <c r="S280" s="95">
        <v>1</v>
      </c>
      <c r="T280" s="63">
        <v>56550</v>
      </c>
      <c r="U280" s="63">
        <f t="shared" si="48"/>
        <v>56550</v>
      </c>
      <c r="V280" s="64">
        <f t="shared" si="49"/>
        <v>63336</v>
      </c>
      <c r="W280" s="69"/>
      <c r="X280" s="71">
        <v>2018</v>
      </c>
      <c r="Y280" s="72"/>
      <c r="Z280" s="102"/>
      <c r="AA280" s="102"/>
      <c r="AB280" s="10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79.2">
      <c r="A281" s="3"/>
      <c r="B281" s="66" t="s">
        <v>697</v>
      </c>
      <c r="C281" s="75" t="s">
        <v>36</v>
      </c>
      <c r="D281" s="89" t="s">
        <v>820</v>
      </c>
      <c r="E281" s="68" t="s">
        <v>821</v>
      </c>
      <c r="F281" s="68" t="s">
        <v>692</v>
      </c>
      <c r="G281" s="69"/>
      <c r="H281" s="75" t="s">
        <v>40</v>
      </c>
      <c r="I281" s="69">
        <v>100</v>
      </c>
      <c r="J281" s="68">
        <v>710000000</v>
      </c>
      <c r="K281" s="75" t="s">
        <v>41</v>
      </c>
      <c r="L281" s="75" t="s">
        <v>386</v>
      </c>
      <c r="M281" s="75" t="s">
        <v>42</v>
      </c>
      <c r="N281" s="68"/>
      <c r="O281" s="76" t="s">
        <v>301</v>
      </c>
      <c r="P281" s="66" t="s">
        <v>648</v>
      </c>
      <c r="Q281" s="66"/>
      <c r="R281" s="75" t="s">
        <v>607</v>
      </c>
      <c r="S281" s="95">
        <v>1</v>
      </c>
      <c r="T281" s="63">
        <v>879464</v>
      </c>
      <c r="U281" s="63">
        <f t="shared" si="48"/>
        <v>879464</v>
      </c>
      <c r="V281" s="64">
        <f t="shared" si="49"/>
        <v>984999.67999999993</v>
      </c>
      <c r="W281" s="69"/>
      <c r="X281" s="71">
        <v>2018</v>
      </c>
      <c r="Y281" s="72"/>
      <c r="Z281" s="102"/>
      <c r="AA281" s="102"/>
      <c r="AB281" s="10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66">
      <c r="A282" s="3"/>
      <c r="B282" s="66" t="s">
        <v>701</v>
      </c>
      <c r="C282" s="75" t="s">
        <v>36</v>
      </c>
      <c r="D282" s="89" t="s">
        <v>694</v>
      </c>
      <c r="E282" s="68" t="s">
        <v>695</v>
      </c>
      <c r="F282" s="68" t="s">
        <v>696</v>
      </c>
      <c r="G282" s="69"/>
      <c r="H282" s="75" t="s">
        <v>40</v>
      </c>
      <c r="I282" s="69">
        <v>100</v>
      </c>
      <c r="J282" s="68">
        <v>710000000</v>
      </c>
      <c r="K282" s="75" t="s">
        <v>41</v>
      </c>
      <c r="L282" s="75" t="s">
        <v>386</v>
      </c>
      <c r="M282" s="75" t="s">
        <v>42</v>
      </c>
      <c r="N282" s="68"/>
      <c r="O282" s="76" t="s">
        <v>301</v>
      </c>
      <c r="P282" s="66" t="s">
        <v>648</v>
      </c>
      <c r="Q282" s="66"/>
      <c r="R282" s="75" t="s">
        <v>607</v>
      </c>
      <c r="S282" s="95">
        <v>1</v>
      </c>
      <c r="T282" s="63">
        <v>178571</v>
      </c>
      <c r="U282" s="63">
        <f t="shared" si="48"/>
        <v>178571</v>
      </c>
      <c r="V282" s="64">
        <f t="shared" si="49"/>
        <v>199999.52</v>
      </c>
      <c r="W282" s="69"/>
      <c r="X282" s="71">
        <v>2018</v>
      </c>
      <c r="Y282" s="72"/>
      <c r="Z282" s="102"/>
      <c r="AA282" s="102"/>
      <c r="AB282" s="10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132">
      <c r="A283" s="3"/>
      <c r="B283" s="66" t="s">
        <v>705</v>
      </c>
      <c r="C283" s="75" t="s">
        <v>36</v>
      </c>
      <c r="D283" s="89" t="s">
        <v>834</v>
      </c>
      <c r="E283" s="68" t="s">
        <v>833</v>
      </c>
      <c r="F283" s="68" t="s">
        <v>700</v>
      </c>
      <c r="G283" s="69"/>
      <c r="H283" s="75" t="s">
        <v>40</v>
      </c>
      <c r="I283" s="69">
        <v>100</v>
      </c>
      <c r="J283" s="68">
        <v>710000000</v>
      </c>
      <c r="K283" s="75" t="s">
        <v>41</v>
      </c>
      <c r="L283" s="75" t="s">
        <v>386</v>
      </c>
      <c r="M283" s="75" t="s">
        <v>42</v>
      </c>
      <c r="N283" s="68"/>
      <c r="O283" s="76" t="s">
        <v>301</v>
      </c>
      <c r="P283" s="66" t="s">
        <v>827</v>
      </c>
      <c r="Q283" s="66"/>
      <c r="R283" s="75" t="s">
        <v>607</v>
      </c>
      <c r="S283" s="95">
        <v>1</v>
      </c>
      <c r="T283" s="63">
        <v>669642</v>
      </c>
      <c r="U283" s="63">
        <f t="shared" si="48"/>
        <v>669642</v>
      </c>
      <c r="V283" s="64">
        <f t="shared" si="49"/>
        <v>749999.04</v>
      </c>
      <c r="W283" s="69"/>
      <c r="X283" s="71">
        <v>2018</v>
      </c>
      <c r="Y283" s="72"/>
      <c r="Z283" s="102"/>
      <c r="AA283" s="102"/>
      <c r="AB283" s="10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60.75" customHeight="1">
      <c r="A284" s="3"/>
      <c r="B284" s="66" t="s">
        <v>709</v>
      </c>
      <c r="C284" s="75" t="s">
        <v>36</v>
      </c>
      <c r="D284" s="89" t="s">
        <v>702</v>
      </c>
      <c r="E284" s="68" t="s">
        <v>703</v>
      </c>
      <c r="F284" s="68" t="s">
        <v>704</v>
      </c>
      <c r="G284" s="69"/>
      <c r="H284" s="75" t="s">
        <v>40</v>
      </c>
      <c r="I284" s="69">
        <v>100</v>
      </c>
      <c r="J284" s="68">
        <v>710000000</v>
      </c>
      <c r="K284" s="75" t="s">
        <v>41</v>
      </c>
      <c r="L284" s="75" t="s">
        <v>670</v>
      </c>
      <c r="M284" s="75" t="s">
        <v>42</v>
      </c>
      <c r="N284" s="68"/>
      <c r="O284" s="76" t="s">
        <v>301</v>
      </c>
      <c r="P284" s="20" t="s">
        <v>741</v>
      </c>
      <c r="Q284" s="66"/>
      <c r="R284" s="75" t="s">
        <v>607</v>
      </c>
      <c r="S284" s="95">
        <v>1</v>
      </c>
      <c r="T284" s="63">
        <v>988736</v>
      </c>
      <c r="U284" s="63">
        <f t="shared" si="48"/>
        <v>988736</v>
      </c>
      <c r="V284" s="64">
        <f t="shared" si="49"/>
        <v>1107384.3200000001</v>
      </c>
      <c r="W284" s="69"/>
      <c r="X284" s="71">
        <v>2018</v>
      </c>
      <c r="Y284" s="72"/>
      <c r="Z284" s="102"/>
      <c r="AA284" s="102"/>
      <c r="AB284" s="10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58.5" customHeight="1">
      <c r="A285" s="3"/>
      <c r="B285" s="66" t="s">
        <v>713</v>
      </c>
      <c r="C285" s="75" t="s">
        <v>36</v>
      </c>
      <c r="D285" s="89" t="s">
        <v>702</v>
      </c>
      <c r="E285" s="68" t="s">
        <v>703</v>
      </c>
      <c r="F285" s="68" t="s">
        <v>704</v>
      </c>
      <c r="G285" s="69"/>
      <c r="H285" s="75" t="s">
        <v>40</v>
      </c>
      <c r="I285" s="69">
        <v>100</v>
      </c>
      <c r="J285" s="68">
        <v>710000000</v>
      </c>
      <c r="K285" s="75" t="s">
        <v>41</v>
      </c>
      <c r="L285" s="75" t="s">
        <v>386</v>
      </c>
      <c r="M285" s="75" t="s">
        <v>42</v>
      </c>
      <c r="N285" s="68"/>
      <c r="O285" s="76" t="s">
        <v>828</v>
      </c>
      <c r="P285" s="20" t="s">
        <v>741</v>
      </c>
      <c r="Q285" s="66"/>
      <c r="R285" s="75" t="s">
        <v>607</v>
      </c>
      <c r="S285" s="95">
        <v>1</v>
      </c>
      <c r="T285" s="63">
        <v>105013</v>
      </c>
      <c r="U285" s="63">
        <f t="shared" si="48"/>
        <v>105013</v>
      </c>
      <c r="V285" s="64">
        <f t="shared" si="49"/>
        <v>117614.56</v>
      </c>
      <c r="W285" s="69"/>
      <c r="X285" s="71">
        <v>2018</v>
      </c>
      <c r="Y285" s="72"/>
      <c r="Z285" s="102"/>
      <c r="AA285" s="102"/>
      <c r="AB285" s="10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84" customHeight="1">
      <c r="A286" s="3"/>
      <c r="B286" s="66" t="s">
        <v>717</v>
      </c>
      <c r="C286" s="75" t="s">
        <v>36</v>
      </c>
      <c r="D286" s="68" t="s">
        <v>706</v>
      </c>
      <c r="E286" s="68" t="s">
        <v>707</v>
      </c>
      <c r="F286" s="68" t="s">
        <v>708</v>
      </c>
      <c r="G286" s="69"/>
      <c r="H286" s="75" t="s">
        <v>40</v>
      </c>
      <c r="I286" s="69">
        <v>100</v>
      </c>
      <c r="J286" s="68">
        <v>710000000</v>
      </c>
      <c r="K286" s="75" t="s">
        <v>41</v>
      </c>
      <c r="L286" s="75" t="s">
        <v>300</v>
      </c>
      <c r="M286" s="75" t="s">
        <v>42</v>
      </c>
      <c r="N286" s="68"/>
      <c r="O286" s="76" t="s">
        <v>301</v>
      </c>
      <c r="P286" s="20" t="s">
        <v>302</v>
      </c>
      <c r="Q286" s="66"/>
      <c r="R286" s="75" t="s">
        <v>607</v>
      </c>
      <c r="S286" s="95">
        <v>1</v>
      </c>
      <c r="T286" s="63">
        <v>35519723</v>
      </c>
      <c r="U286" s="63">
        <f t="shared" si="48"/>
        <v>35519723</v>
      </c>
      <c r="V286" s="64">
        <f t="shared" si="49"/>
        <v>39782089.759999998</v>
      </c>
      <c r="W286" s="69"/>
      <c r="X286" s="71">
        <v>2018</v>
      </c>
      <c r="Y286" s="72"/>
      <c r="Z286" s="102"/>
      <c r="AA286" s="102"/>
      <c r="AB286" s="10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92.25" customHeight="1">
      <c r="A287" s="3"/>
      <c r="B287" s="66" t="s">
        <v>817</v>
      </c>
      <c r="C287" s="75" t="s">
        <v>36</v>
      </c>
      <c r="D287" s="68" t="s">
        <v>710</v>
      </c>
      <c r="E287" s="68" t="s">
        <v>711</v>
      </c>
      <c r="F287" s="68" t="s">
        <v>712</v>
      </c>
      <c r="G287" s="69"/>
      <c r="H287" s="75" t="s">
        <v>40</v>
      </c>
      <c r="I287" s="69">
        <v>100</v>
      </c>
      <c r="J287" s="68">
        <v>710000000</v>
      </c>
      <c r="K287" s="75" t="s">
        <v>41</v>
      </c>
      <c r="L287" s="75" t="s">
        <v>386</v>
      </c>
      <c r="M287" s="75" t="s">
        <v>42</v>
      </c>
      <c r="N287" s="68"/>
      <c r="O287" s="76" t="s">
        <v>301</v>
      </c>
      <c r="P287" s="20" t="s">
        <v>302</v>
      </c>
      <c r="Q287" s="66"/>
      <c r="R287" s="75" t="s">
        <v>607</v>
      </c>
      <c r="S287" s="95">
        <v>1</v>
      </c>
      <c r="T287" s="63">
        <v>578571</v>
      </c>
      <c r="U287" s="63">
        <f t="shared" si="48"/>
        <v>578571</v>
      </c>
      <c r="V287" s="64">
        <f t="shared" si="49"/>
        <v>647999.52</v>
      </c>
      <c r="W287" s="69"/>
      <c r="X287" s="71">
        <v>2018</v>
      </c>
      <c r="Y287" s="72"/>
      <c r="Z287" s="102"/>
      <c r="AA287" s="102"/>
      <c r="AB287" s="10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52.8">
      <c r="A288" s="3"/>
      <c r="B288" s="66" t="s">
        <v>818</v>
      </c>
      <c r="C288" s="75" t="s">
        <v>36</v>
      </c>
      <c r="D288" s="68" t="s">
        <v>714</v>
      </c>
      <c r="E288" s="68" t="s">
        <v>715</v>
      </c>
      <c r="F288" s="68" t="s">
        <v>716</v>
      </c>
      <c r="G288" s="69"/>
      <c r="H288" s="75" t="s">
        <v>40</v>
      </c>
      <c r="I288" s="69">
        <v>100</v>
      </c>
      <c r="J288" s="68">
        <v>710000000</v>
      </c>
      <c r="K288" s="75" t="s">
        <v>41</v>
      </c>
      <c r="L288" s="75" t="s">
        <v>386</v>
      </c>
      <c r="M288" s="75" t="s">
        <v>42</v>
      </c>
      <c r="N288" s="68"/>
      <c r="O288" s="76" t="s">
        <v>301</v>
      </c>
      <c r="P288" s="20" t="s">
        <v>302</v>
      </c>
      <c r="Q288" s="66"/>
      <c r="R288" s="75" t="s">
        <v>607</v>
      </c>
      <c r="S288" s="95">
        <v>1</v>
      </c>
      <c r="T288" s="63">
        <v>2291071</v>
      </c>
      <c r="U288" s="63">
        <f t="shared" si="48"/>
        <v>2291071</v>
      </c>
      <c r="V288" s="64">
        <f t="shared" si="49"/>
        <v>2565999.52</v>
      </c>
      <c r="W288" s="69"/>
      <c r="X288" s="71">
        <v>2018</v>
      </c>
      <c r="Y288" s="72"/>
      <c r="Z288" s="102"/>
      <c r="AA288" s="102"/>
      <c r="AB288" s="10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66">
      <c r="A289" s="3"/>
      <c r="B289" s="66" t="s">
        <v>819</v>
      </c>
      <c r="C289" s="75" t="s">
        <v>36</v>
      </c>
      <c r="D289" s="68" t="s">
        <v>718</v>
      </c>
      <c r="E289" s="68" t="s">
        <v>719</v>
      </c>
      <c r="F289" s="68" t="s">
        <v>720</v>
      </c>
      <c r="G289" s="69"/>
      <c r="H289" s="75" t="s">
        <v>40</v>
      </c>
      <c r="I289" s="69">
        <v>100</v>
      </c>
      <c r="J289" s="68">
        <v>710000000</v>
      </c>
      <c r="K289" s="75" t="s">
        <v>41</v>
      </c>
      <c r="L289" s="75" t="s">
        <v>386</v>
      </c>
      <c r="M289" s="75" t="s">
        <v>42</v>
      </c>
      <c r="N289" s="68"/>
      <c r="O289" s="76" t="s">
        <v>301</v>
      </c>
      <c r="P289" s="66" t="s">
        <v>648</v>
      </c>
      <c r="Q289" s="66"/>
      <c r="R289" s="75" t="s">
        <v>607</v>
      </c>
      <c r="S289" s="95">
        <v>1</v>
      </c>
      <c r="T289" s="63">
        <v>7730357</v>
      </c>
      <c r="U289" s="63">
        <f t="shared" si="48"/>
        <v>7730357</v>
      </c>
      <c r="V289" s="64">
        <f t="shared" si="49"/>
        <v>8657999.8399999999</v>
      </c>
      <c r="W289" s="69"/>
      <c r="X289" s="71">
        <v>2018</v>
      </c>
      <c r="Y289" s="72"/>
      <c r="Z289" s="102"/>
      <c r="AA289" s="102"/>
      <c r="AB289" s="10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15" customHeight="1">
      <c r="A290" s="3"/>
      <c r="B290" s="133" t="s">
        <v>804</v>
      </c>
      <c r="C290" s="137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0"/>
      <c r="U290" s="91">
        <f>SUM(U245:U289)</f>
        <v>113208642.30357143</v>
      </c>
      <c r="V290" s="92">
        <f>SUM(V245:V289)</f>
        <v>126793679.38000003</v>
      </c>
      <c r="W290" s="14"/>
      <c r="X290" s="12"/>
      <c r="Y290" s="62"/>
      <c r="Z290" s="102"/>
      <c r="AA290" s="102"/>
      <c r="AB290" s="10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12.75" customHeight="1">
      <c r="A291" s="3"/>
      <c r="B291" s="81"/>
      <c r="C291" s="1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0"/>
      <c r="U291" s="11"/>
      <c r="V291" s="14"/>
      <c r="W291" s="14"/>
      <c r="X291" s="12"/>
      <c r="Y291" s="62"/>
      <c r="Z291" s="102"/>
      <c r="AA291" s="102"/>
      <c r="AB291" s="10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17.25" customHeight="1">
      <c r="A292" s="3"/>
      <c r="B292" s="133" t="s">
        <v>32</v>
      </c>
      <c r="C292" s="134"/>
      <c r="D292" s="12"/>
      <c r="E292" s="1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0"/>
      <c r="U292" s="91">
        <f>U241+U243+U290</f>
        <v>188899966.83928573</v>
      </c>
      <c r="V292" s="92">
        <f>V241+V243+V290</f>
        <v>211567972.89000005</v>
      </c>
      <c r="W292" s="14"/>
      <c r="X292" s="12"/>
      <c r="Y292" s="62"/>
      <c r="Z292" s="102"/>
      <c r="AA292" s="102"/>
      <c r="AB292" s="10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12.75" customHeight="1">
      <c r="A293" s="3"/>
      <c r="B293" s="82"/>
      <c r="C293" s="16"/>
      <c r="D293" s="17"/>
      <c r="E293" s="16"/>
      <c r="F293" s="18"/>
      <c r="G293" s="18"/>
      <c r="H293" s="18"/>
      <c r="I293" s="18"/>
      <c r="J293" s="18"/>
      <c r="K293" s="18"/>
      <c r="L293" s="18"/>
      <c r="M293" s="2"/>
      <c r="N293" s="2"/>
      <c r="O293" s="2"/>
      <c r="P293" s="2"/>
      <c r="Q293" s="2"/>
      <c r="R293" s="2"/>
      <c r="S293" s="2"/>
      <c r="T293" s="111"/>
      <c r="U293" s="2"/>
      <c r="V293" s="2"/>
      <c r="W293" s="2"/>
      <c r="Z293" s="102"/>
      <c r="AA293" s="102"/>
      <c r="AB293" s="10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</sheetData>
  <autoFilter ref="B12:Y290"/>
  <mergeCells count="37">
    <mergeCell ref="B292:C292"/>
    <mergeCell ref="Z10:Z11"/>
    <mergeCell ref="B241:C241"/>
    <mergeCell ref="B242:C242"/>
    <mergeCell ref="B243:C243"/>
    <mergeCell ref="B244:C244"/>
    <mergeCell ref="B290:C290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  <mergeCell ref="I10:I11"/>
    <mergeCell ref="J10:J11"/>
    <mergeCell ref="K10:K11"/>
    <mergeCell ref="L10:L11"/>
    <mergeCell ref="M10:M11"/>
    <mergeCell ref="G10:G11"/>
    <mergeCell ref="B2:Y2"/>
    <mergeCell ref="B3:C3"/>
    <mergeCell ref="D3:X3"/>
    <mergeCell ref="T4:Y5"/>
    <mergeCell ref="T6:Y7"/>
    <mergeCell ref="D8:X8"/>
    <mergeCell ref="B10:B11"/>
    <mergeCell ref="C10:C11"/>
    <mergeCell ref="D10:D11"/>
    <mergeCell ref="E10:E11"/>
    <mergeCell ref="F10:F11"/>
    <mergeCell ref="Q10:Q11"/>
    <mergeCell ref="R10:R11"/>
    <mergeCell ref="S10:S11"/>
    <mergeCell ref="H10:H11"/>
  </mergeCells>
  <hyperlinks>
    <hyperlink ref="D188" r:id="rId1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192" r:id="rId2" display="https://enstru.kz/code_new.jsp?&amp;t=%D0%BF%D1%80%D0%B8%D0%BD%D1%82%D0%B5%D1%80&amp;s=common&amp;p=10&amp;n=0&amp;S=262016%2E300,262040%2E000&amp;N=%D0%9F%D1%80%D0%B8%D0%BD%D1%82%D0%B5%D1%80&amp;fc=1&amp;fg=1&amp;new=262016.300.000016"/>
    <hyperlink ref="D191" r:id="rId3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3" r:id="rId4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8" r:id="rId5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194" r:id="rId6" display="https://enstru.kz/code_new.jsp?&amp;t=%D0%BD%D0%BE%D1%83%D1%82%D0%B1%D1%83%D0%BA&amp;s=common&amp;p=10&amp;n=0&amp;S=262011%2E100&amp;N=%D0%9D%D0%BE%D1%83%D1%82%D0%B1%D1%83%D0%BA&amp;fc=1&amp;fg=1&amp;new=262011.100.000004"/>
    <hyperlink ref="D164" r:id="rId7" display="https://enstru.kz/code_new.jsp?&amp;t=%D0%BB%D1%83%D0%BF%D0%B0&amp;s=common&amp;p=10&amp;n=0&amp;S=325013%2E200,329959%2E900&amp;N=%D0%9B%D1%83%D0%BF%D0%B0&amp;fk=on&amp;fc=1&amp;fg=1&amp;new=325013.200.000008"/>
    <hyperlink ref="D167" r:id="rId8" display="https://enstru.kz/code_new.jsp?&amp;t=%D0%BD%D0%B0%D1%83%D1%88%D0%BD%D0%B8%D0%BA&amp;s=common&amp;p=10&amp;n=0&amp;S=264042%2E700&amp;N=%D0%9D%D0%B0%D1%83%D1%88%D0%BD%D0%B8%D0%BA%D0%B8&amp;fk=on&amp;fc=1&amp;fg=1&amp;new=264042.700.000004"/>
    <hyperlink ref="D195" r:id="rId9" display="https://enstru.kz/code_new.jsp?&amp;t=%D1%81%D1%83%D0%BC%D0%BA%D0%B0%20%D0%B4%D0%BB%D1%8F&amp;s=common&amp;p=10&amp;n=0&amp;S=271231%2E900&amp;N=%D0%A1%D1%83%D0%BC%D0%BA%D0%B0&amp;fk=on&amp;fc=1&amp;fg=1&amp;new=271231.900.000037"/>
    <hyperlink ref="D197" r:id="rId1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/>
    <hyperlink ref="D203" r:id="rId11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/>
    <hyperlink ref="D204" r:id="rId1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/>
    <hyperlink ref="D199" r:id="rId13" display="http://enstru.kz/code_new.jsp?&amp;t=%D1%81%D0%B5%D1%80%D0%B2%D0%B5%D1%80&amp;s=common&amp;p=10&amp;n=0&amp;S=262013%2E000&amp;N=%D0%A1%D0%B5%D1%80%D0%B2%D0%B5%D1%80&amp;fc=1&amp;fg=1&amp;new=262013.000.000022"/>
    <hyperlink ref="D201" r:id="rId14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05" r:id="rId15" display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/>
    <hyperlink ref="D206" r:id="rId16" display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/>
    <hyperlink ref="D207" r:id="rId17" display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/>
    <hyperlink ref="D208" r:id="rId1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7" r:id="rId19" display="http://enstru.kz/code_new.jsp?&amp;t=%D0%BA%D1%80%D0%B5%D1%81%D0%BB%D0%BE&amp;s=common&amp;p=10&amp;n=0&amp;S=310011%2E500,310011%2E750,310012%2E550,310012%2E590,310012%2E592&amp;N=%D0%9A%D1%80%D0%B5%D1%81%D0%BB%D0%BE&amp;fc=1&amp;fg=1&amp;new=310012.550.000002"/>
    <hyperlink ref="D220" r:id="rId20" display="http://enstru.kz/code_new.jsp?&amp;t=%D1%82%D1%83%D0%BC%D0%B1%D0%B0&amp;s=common&amp;p=10&amp;n=0&amp;S=310112%2E500,310911%2E000,310912%2E300&amp;N=%D0%A2%D1%83%D0%BC%D0%B1%D0%B0&amp;fc=1&amp;fg=1&amp;new=310112.500.000000"/>
    <hyperlink ref="D224" r:id="rId21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225" r:id="rId22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  <hyperlink ref="D226" r:id="rId23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227" r:id="rId24" display="http://enstru.kz/code_new.jsp?&amp;t=%D0%BA%D0%BE%D0%BD%D1%84%D0%B5%D1%80%D0%B5%D0%BD%D1%86&amp;s=common&amp;p=10&amp;n=0&amp;S=310112%2E300&amp;N=%D0%A1%D1%82%D0%BE%D0%BB&amp;fc=1&amp;fg=1&amp;new=310112.300.000001"/>
    <hyperlink ref="D230" r:id="rId25" display="http://enstru.kz/code_new.jsp?&amp;t=%D0%BA%D0%BE%D0%B2%D0%B5%D1%80&amp;s=common&amp;p=10&amp;n=1&amp;S=139311%2E000,139312%2E000,139313%2E000,139319%2E900&amp;N=%D0%9A%D0%BE%D0%B2%D0%B5%D1%80&amp;fc=1&amp;fg=1&amp;new=139312.000.000020"/>
    <hyperlink ref="D231" r:id="rId26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232" r:id="rId27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233" r:id="rId28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234" r:id="rId29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235" r:id="rId30" display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/>
    <hyperlink ref="D125" r:id="rId31" display="http://enstru.kz/code_new.jsp?&amp;t=%D0%BA%D0%BD%D0%B8%D0%B3%D0%B0&amp;s=common&amp;st=all&amp;p=10&amp;n=0&amp;S=172312%2E700,172313%2E100&amp;N=%D0%9A%D0%BD%D0%B8%D0%B3%D0%B0&amp;fc=1&amp;fg=1&amp;new=172313.100.000003"/>
    <hyperlink ref="D139" r:id="rId32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160" r:id="rId33" display="http://enstru.kz/code_new.jsp?&amp;t=%D1%88%D1%82%D1%80%D0%B8%D1%85&amp;s=common&amp;p=10&amp;n=0&amp;S=329959%2E900&amp;N=%D0%A8%D1%82%D1%80%D0%B8%D1%85%2D%D0%BB%D0%B5%D0%BD%D1%82%D0%B0&amp;fc=1&amp;fg=1&amp;new=329959.900.000066"/>
    <hyperlink ref="D165" r:id="rId34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182" r:id="rId35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185" r:id="rId36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09" r:id="rId37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0" r:id="rId3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1" r:id="rId39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13" r:id="rId40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202" r:id="rId41" display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/>
    <hyperlink ref="D196" r:id="rId42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00" r:id="rId43" display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/>
    <hyperlink ref="D281" r:id="rId44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280" r:id="rId45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282" r:id="rId46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284" r:id="rId47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289" r:id="rId48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275" r:id="rId49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283" r:id="rId50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286" r:id="rId51" display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/>
    <hyperlink ref="D287" r:id="rId52" display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/>
    <hyperlink ref="D288" r:id="rId53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285" r:id="rId54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</hyperlinks>
  <pageMargins left="0.23622047244094491" right="0.23622047244094491" top="0.35433070866141736" bottom="0.35433070866141736" header="0.31496062992125984" footer="0.31496062992125984"/>
  <pageSetup paperSize="9" scale="44" orientation="landscape" r:id="rId55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Sheet0</vt:lpstr>
      <vt:lpstr>Корректированная сумма</vt:lpstr>
      <vt:lpstr>Sheet0!Область_печати</vt:lpstr>
      <vt:lpstr>'Корректированная сумма'!Область_печати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FUJI</cp:lastModifiedBy>
  <cp:lastPrinted>2018-04-28T05:00:00Z</cp:lastPrinted>
  <dcterms:created xsi:type="dcterms:W3CDTF">2016-02-08T03:45:04Z</dcterms:created>
  <dcterms:modified xsi:type="dcterms:W3CDTF">2018-04-28T12:12:49Z</dcterms:modified>
</cp:coreProperties>
</file>