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скорректированный" sheetId="2" r:id="rId1"/>
  </sheets>
  <definedNames>
    <definedName name="_xlnm._FilterDatabase" localSheetId="0" hidden="1">скорректированный!$A$7:$AR$20</definedName>
    <definedName name="_xlnm.Print_Area" localSheetId="0">скорректированный!$A$1:$AU$20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2" l="1"/>
  <c r="R20" i="2"/>
  <c r="S20" i="2"/>
  <c r="Q20" i="2" l="1"/>
  <c r="Q15" i="2" l="1"/>
  <c r="W15" i="2" s="1"/>
  <c r="S16" i="2"/>
  <c r="T16" i="2" s="1"/>
  <c r="X16" i="2"/>
  <c r="AC16" i="2"/>
  <c r="AC18" i="2"/>
  <c r="S18" i="2"/>
  <c r="T18" i="2" s="1"/>
  <c r="R18" i="2"/>
  <c r="S17" i="2"/>
  <c r="T17" i="2" s="1"/>
  <c r="X15" i="2" l="1"/>
  <c r="R15" i="2"/>
  <c r="S15" i="2"/>
  <c r="T15" i="2" s="1"/>
  <c r="R19" i="2"/>
  <c r="AA19" i="2"/>
  <c r="Q12" i="2" l="1"/>
  <c r="W12" i="2" s="1"/>
  <c r="Q10" i="2"/>
  <c r="Q8" i="2"/>
  <c r="Q9" i="2"/>
  <c r="X12" i="2" l="1"/>
  <c r="R12" i="2"/>
  <c r="S12" i="2"/>
  <c r="T12" i="2" s="1"/>
  <c r="W10" i="2"/>
  <c r="X10" i="2" s="1"/>
  <c r="R10" i="2"/>
  <c r="S10" i="2"/>
  <c r="T10" i="2" s="1"/>
  <c r="R8" i="2"/>
  <c r="W8" i="2"/>
  <c r="S8" i="2" s="1"/>
  <c r="R9" i="2"/>
  <c r="W9" i="2"/>
  <c r="S9" i="2" s="1"/>
  <c r="T9" i="2" s="1"/>
  <c r="Q13" i="2"/>
  <c r="Q14" i="2"/>
  <c r="R14" i="2" s="1"/>
  <c r="T8" i="2" l="1"/>
  <c r="X8" i="2"/>
  <c r="W14" i="2"/>
  <c r="X14" i="2" s="1"/>
  <c r="X9" i="2"/>
  <c r="R13" i="2"/>
  <c r="T13" i="2" s="1"/>
  <c r="AB13" i="2" s="1"/>
  <c r="W13" i="2"/>
  <c r="S13" i="2" s="1"/>
  <c r="S14" i="2" l="1"/>
  <c r="T14" i="2" s="1"/>
  <c r="X13" i="2"/>
  <c r="Q11" i="2" l="1"/>
  <c r="X18" i="2" l="1"/>
  <c r="W20" i="2"/>
  <c r="X20" i="2" s="1"/>
  <c r="W17" i="2"/>
  <c r="X17" i="2" s="1"/>
  <c r="W11" i="2"/>
  <c r="X11" i="2" s="1"/>
  <c r="R11" i="2"/>
  <c r="S11" i="2" l="1"/>
  <c r="T11" i="2" l="1"/>
</calcChain>
</file>

<file path=xl/sharedStrings.xml><?xml version="1.0" encoding="utf-8"?>
<sst xmlns="http://schemas.openxmlformats.org/spreadsheetml/2006/main" count="207" uniqueCount="104">
  <si>
    <t>№</t>
  </si>
  <si>
    <t>Код ЕНСТРУ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</si>
  <si>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</si>
  <si>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</si>
  <si>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</si>
  <si>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</si>
  <si>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Основания для одного источника</t>
  </si>
  <si>
    <t>Прогноз местного содержания, %</t>
  </si>
  <si>
    <t>Срок осуществления закупок (планируемый месяц проведения)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</si>
  <si>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</si>
  <si>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</si>
  <si>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</si>
  <si>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</si>
  <si>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</si>
  <si>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</si>
  <si>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</si>
  <si>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</si>
  <si>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</si>
  <si>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Маркетинговая цена за единицу, тенге НДС</t>
  </si>
  <si>
    <t>Сумма,  планируемая для закупки ТРУ с НДС,  тенге</t>
  </si>
  <si>
    <t>Приоритет закупки</t>
  </si>
  <si>
    <t>Организатор закупки</t>
  </si>
  <si>
    <t>ОИ</t>
  </si>
  <si>
    <t>пп.2 п.107 Правил</t>
  </si>
  <si>
    <t>Август</t>
  </si>
  <si>
    <t>711210000, г.Нур-Султан, район "Есиль", ул. Е10, д. 17/10</t>
  </si>
  <si>
    <t>КФ КСО</t>
  </si>
  <si>
    <t>с даты заключения договора до 31 декабря 2021 г.</t>
  </si>
  <si>
    <t xml:space="preserve">Окончательный платеж - 0% , Промежуточный платеж - 100% , Предоплата - 0% </t>
  </si>
  <si>
    <t>Услуга</t>
  </si>
  <si>
    <t>Июль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</si>
  <si>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</si>
  <si>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</si>
  <si>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</si>
  <si>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Юридическая информационная система</t>
  </si>
  <si>
    <t>12 месяцев с даты заключения договора</t>
  </si>
  <si>
    <t>581915.300.000000</t>
  </si>
  <si>
    <t>Услуги по размещению рекламных/информационных материалов в печатных материалах (кроме книг и периодических изданий)</t>
  </si>
  <si>
    <t>размещение объявлений в периодических печатных изданиях</t>
  </si>
  <si>
    <t>Размещение объявлений</t>
  </si>
  <si>
    <t>итого по услугам</t>
  </si>
  <si>
    <t>28 У</t>
  </si>
  <si>
    <t>стату</t>
  </si>
  <si>
    <t>пп.3 п.109 Правил</t>
  </si>
  <si>
    <t xml:space="preserve">Окончательный платеж - 0% , Промежуточный платеж - 0% , Предоплата - 100% </t>
  </si>
  <si>
    <t>841212.025.000000</t>
  </si>
  <si>
    <t>Услуги по проведению полемеразных цепных реакции</t>
  </si>
  <si>
    <t>Диагностика инфекционных заболеваний (ПЦР)</t>
  </si>
  <si>
    <t>изменен ст. 7, 9, 14</t>
  </si>
  <si>
    <t xml:space="preserve">дополнен </t>
  </si>
  <si>
    <t>Диагностические исследования на выявление РНК вируса COVID-19 из биологического материала методом полимеразной цепной реакции</t>
  </si>
  <si>
    <t>531012.200.000000</t>
  </si>
  <si>
    <t>Услуги по пересылке регистрируемых почтовых отправлений</t>
  </si>
  <si>
    <t>Пересылка почты с вызовом курьера</t>
  </si>
  <si>
    <t>Почтовые услуги</t>
  </si>
  <si>
    <t>изменен ст 9</t>
  </si>
  <si>
    <t>11-1 У</t>
  </si>
  <si>
    <t>15-1 У</t>
  </si>
  <si>
    <t>9-1 У</t>
  </si>
  <si>
    <t>Бухгалтерская  информационная система</t>
  </si>
  <si>
    <t>13-1 У</t>
  </si>
  <si>
    <t>изменен ст. 7, 9, 13, 14</t>
  </si>
  <si>
    <t>181410.100.000001</t>
  </si>
  <si>
    <t>Услуги по переплету</t>
  </si>
  <si>
    <t>Услуги переплета</t>
  </si>
  <si>
    <t xml:space="preserve">Окончательный платеж - 100% , Промежуточный платеж - 0% , Предоплата - 0% </t>
  </si>
  <si>
    <t/>
  </si>
  <si>
    <t>181219.900.000005</t>
  </si>
  <si>
    <t>Услуги полиграфические по изготовлению/ печатанию полиграфической продукции (кроме книг, фото, периодических изданий)</t>
  </si>
  <si>
    <t>Услуги полиграфические по изготовлению/печатанию полиграфической продукции (кроме книг, фото, периодических изданий)</t>
  </si>
  <si>
    <t>Фирменные бланки - 3000 шт, 
Папка с логотипом с карманом - 48 шт,
Папка с логотипом без карманов - 96 шт,
Грамота А4 - 7 шт,
Ежедневник с логотипом - 12 шт.</t>
  </si>
  <si>
    <t>6-1 У</t>
  </si>
  <si>
    <t>10-1 У</t>
  </si>
  <si>
    <t>12-1 У</t>
  </si>
  <si>
    <t>Услуги по администрированию и техническому обслуживанию программного обеспечения</t>
  </si>
  <si>
    <t>620920.000.000001</t>
  </si>
  <si>
    <t>Техническое обслуживание программного обеспечения: 1С Бухгалтерия</t>
  </si>
  <si>
    <t>Приложение №1 к приказу о внесении изменений и дополнения в план закупок, утвержденный №1 от "11" января 2021 г.</t>
  </si>
  <si>
    <t>711220.000.000000</t>
  </si>
  <si>
    <t>Услуги по авторскому/техническому надзору</t>
  </si>
  <si>
    <t>Услуги по техническому надзору за строительством объекта «Медицинский центр (поликлиника) со стационаром на 50 мест производственного филиала «Өзенмунайгаз» в городе Жанаозен Мангистауской области»</t>
  </si>
  <si>
    <t>ОТ</t>
  </si>
  <si>
    <t>с даты заключения договора до подписания актов приемки в эксплуатацию</t>
  </si>
  <si>
    <t>711220.000.000001</t>
  </si>
  <si>
    <t>Услуги по управлению проектами</t>
  </si>
  <si>
    <t xml:space="preserve">Услуги по управлению проектом за строительством объекта «Медицинский центр (поликлиника) со стационаром на 50 мест производственного филиала «Өзенмунайгаз» в городе Жанаозен Мангистауской области» </t>
  </si>
  <si>
    <t>Услуги по авторскому надзору за строительством объекта «Медицинский центр (поликлиника) со стационаром на 50 мест производственного филиала «Өзенмунайгаз» в городе Жанаозен Мангистауской области»</t>
  </si>
  <si>
    <t>25-1 У</t>
  </si>
  <si>
    <t>26-1 У</t>
  </si>
  <si>
    <t>27-1 У</t>
  </si>
  <si>
    <t xml:space="preserve">Окончательный платеж - 0% , Промежуточный платеж - 100%, Предоплата - 0%  </t>
  </si>
  <si>
    <t>изменен ст 9, 14</t>
  </si>
  <si>
    <t xml:space="preserve"> 620230.000.000003</t>
  </si>
  <si>
    <t xml:space="preserve">Услуги по технической поддержке сайтов </t>
  </si>
  <si>
    <t>Техническая поддержка сайта</t>
  </si>
  <si>
    <t xml:space="preserve">Окончательный платеж - 0% , Промежуточный платеж - 0%, Предоплата - 100%  </t>
  </si>
  <si>
    <t>23-1 У</t>
  </si>
  <si>
    <t>изменен ст 6, 9, 14</t>
  </si>
  <si>
    <t>изменен ст 13</t>
  </si>
  <si>
    <t xml:space="preserve">Внесение изменений и дополнения в план закупок, товаров, работ и услуг Корпоративного фонда "Компания по строительству объектов" на 2021 год </t>
  </si>
  <si>
    <t>изменен ст 9, 17-20</t>
  </si>
  <si>
    <t>пп.2 п.109 Правил</t>
  </si>
  <si>
    <t>без НДС</t>
  </si>
  <si>
    <t>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</si>
</sst>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NumberFormat="1" applyFont="1" applyFill="1" applyBorder="1"/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/>
    <xf numFmtId="0" fontId="3" fillId="2" borderId="0" xfId="0" applyFont="1" applyFill="1"/>
    <xf numFmtId="0" fontId="1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3" fillId="2" borderId="1" xfId="0" applyFont="1" applyFill="1" applyBorder="1"/>
    <xf numFmtId="0" fontId="10" fillId="2" borderId="0" xfId="0" applyNumberFormat="1" applyFont="1" applyFill="1" applyBorder="1" applyAlignment="1">
      <alignment horizontal="right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/>
    <xf numFmtId="0" fontId="1" fillId="2" borderId="5" xfId="0" applyNumberFormat="1" applyFont="1" applyFill="1" applyBorder="1"/>
    <xf numFmtId="0" fontId="11" fillId="2" borderId="0" xfId="0" applyNumberFormat="1" applyFont="1" applyFill="1" applyBorder="1"/>
    <xf numFmtId="4" fontId="12" fillId="2" borderId="0" xfId="0" applyNumberFormat="1" applyFont="1" applyFill="1" applyBorder="1"/>
    <xf numFmtId="0" fontId="12" fillId="2" borderId="0" xfId="0" applyNumberFormat="1" applyFont="1" applyFill="1" applyBorder="1"/>
    <xf numFmtId="0" fontId="6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2" borderId="0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/>
    <xf numFmtId="0" fontId="13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3" fillId="0" borderId="0" xfId="0" applyFont="1" applyFill="1" applyBorder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right" wrapText="1"/>
    </xf>
    <xf numFmtId="0" fontId="4" fillId="2" borderId="0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1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2"/>
  <sheetViews>
    <sheetView tabSelected="1" view="pageBreakPreview" topLeftCell="D16" zoomScale="60" zoomScaleNormal="70" workbookViewId="0">
      <selection activeCell="BI11" sqref="BI11"/>
    </sheetView>
  </sheetViews>
  <sheetFormatPr defaultRowHeight="15" outlineLevelRow="1" x14ac:dyDescent="0.25"/>
  <cols>
    <col min="1" max="1" width="7.42578125" style="2" customWidth="1"/>
    <col min="2" max="2" width="18.140625" style="3" customWidth="1"/>
    <col min="3" max="3" width="19.42578125" style="3" customWidth="1"/>
    <col min="4" max="4" width="16.5703125" style="4" customWidth="1"/>
    <col min="5" max="5" width="34.85546875" style="5" bestFit="1" customWidth="1"/>
    <col min="6" max="6" width="8.85546875" style="3" bestFit="1" customWidth="1"/>
    <col min="7" max="8" width="13.42578125" style="3" bestFit="1" customWidth="1"/>
    <col min="9" max="10" width="20.28515625" style="3" bestFit="1" customWidth="1"/>
    <col min="11" max="11" width="30.140625" style="3" bestFit="1" customWidth="1"/>
    <col min="12" max="12" width="15.85546875" style="3" bestFit="1" customWidth="1"/>
    <col min="13" max="13" width="30.140625" style="3" bestFit="1" customWidth="1"/>
    <col min="14" max="14" width="26.85546875" style="3" bestFit="1" customWidth="1"/>
    <col min="15" max="15" width="10" style="3" bestFit="1" customWidth="1"/>
    <col min="16" max="16" width="13" style="3" bestFit="1" customWidth="1"/>
    <col min="17" max="17" width="21.140625" style="3" bestFit="1" customWidth="1"/>
    <col min="18" max="18" width="27.42578125" style="3" customWidth="1"/>
    <col min="19" max="19" width="17.85546875" style="3" customWidth="1"/>
    <col min="20" max="20" width="21.42578125" style="3" customWidth="1"/>
    <col min="21" max="21" width="14.5703125" style="3" customWidth="1"/>
    <col min="22" max="22" width="10" style="3" bestFit="1" customWidth="1"/>
    <col min="23" max="23" width="9.5703125" style="6" hidden="1" customWidth="1"/>
    <col min="24" max="24" width="9.7109375" style="6" hidden="1" customWidth="1"/>
    <col min="25" max="25" width="17.140625" style="3" hidden="1" customWidth="1"/>
    <col min="26" max="29" width="15.28515625" style="3" hidden="1" customWidth="1"/>
    <col min="30" max="30" width="13.7109375" style="3" hidden="1" customWidth="1"/>
    <col min="31" max="44" width="9.140625" style="3" hidden="1" customWidth="1"/>
    <col min="45" max="55" width="0" style="7" hidden="1" customWidth="1"/>
    <col min="56" max="56" width="12" style="7" bestFit="1" customWidth="1"/>
    <col min="57" max="57" width="21.5703125" style="7" hidden="1" customWidth="1"/>
    <col min="58" max="58" width="0" style="7" hidden="1" customWidth="1"/>
    <col min="59" max="59" width="16.7109375" style="7" hidden="1" customWidth="1"/>
    <col min="60" max="60" width="9.140625" style="50"/>
    <col min="61" max="16384" width="9.140625" style="7"/>
  </cols>
  <sheetData>
    <row r="1" spans="1:61" s="32" customFormat="1" ht="48.75" customHeight="1" x14ac:dyDescent="0.25">
      <c r="A1" s="2"/>
      <c r="B1" s="9"/>
      <c r="C1" s="8"/>
      <c r="D1" s="8"/>
      <c r="E1" s="5"/>
      <c r="F1" s="10"/>
      <c r="G1" s="10"/>
      <c r="H1" s="10"/>
      <c r="I1" s="10"/>
      <c r="J1" s="10"/>
      <c r="K1" s="10"/>
      <c r="L1" s="10"/>
      <c r="M1" s="10"/>
      <c r="N1" s="10"/>
      <c r="O1" s="28"/>
      <c r="P1" s="29"/>
      <c r="Q1" s="29"/>
      <c r="R1" s="29"/>
      <c r="S1" s="69" t="s">
        <v>77</v>
      </c>
      <c r="T1" s="69"/>
      <c r="U1" s="69"/>
      <c r="V1" s="69"/>
      <c r="W1" s="30"/>
      <c r="X1" s="38"/>
      <c r="Y1" s="10"/>
      <c r="Z1" s="10"/>
      <c r="AA1" s="10"/>
      <c r="AB1" s="3"/>
      <c r="AC1" s="3"/>
      <c r="AD1" s="3"/>
      <c r="AE1" s="3"/>
      <c r="AF1" s="3"/>
      <c r="AG1" s="3"/>
      <c r="AH1" s="39"/>
      <c r="AI1" s="31"/>
      <c r="AJ1" s="31"/>
      <c r="AK1" s="31"/>
      <c r="AL1" s="31"/>
      <c r="AM1" s="31"/>
      <c r="AN1" s="31"/>
      <c r="AO1" s="31"/>
      <c r="BC1" s="48"/>
      <c r="BD1" s="50"/>
      <c r="BE1" s="50"/>
      <c r="BF1" s="50"/>
      <c r="BG1" s="50"/>
      <c r="BH1" s="50"/>
      <c r="BI1" s="49"/>
    </row>
    <row r="2" spans="1:61" x14ac:dyDescent="0.25">
      <c r="B2" s="9"/>
      <c r="C2" s="8"/>
      <c r="D2" s="8"/>
      <c r="F2" s="10"/>
      <c r="G2" s="10"/>
      <c r="H2" s="10"/>
      <c r="I2" s="10"/>
      <c r="J2" s="10"/>
      <c r="K2" s="10"/>
      <c r="L2" s="10"/>
      <c r="M2" s="10"/>
      <c r="N2" s="10"/>
      <c r="O2" s="27"/>
      <c r="P2" s="27"/>
      <c r="Q2" s="27"/>
      <c r="R2" s="27"/>
      <c r="S2" s="27"/>
      <c r="T2" s="27"/>
      <c r="U2" s="27"/>
      <c r="V2" s="27"/>
      <c r="W2" s="10"/>
      <c r="X2" s="10"/>
      <c r="Y2" s="10"/>
      <c r="Z2" s="10"/>
      <c r="AA2" s="10"/>
      <c r="AP2" s="7"/>
      <c r="AQ2" s="7"/>
      <c r="AR2" s="7"/>
      <c r="BD2" s="50"/>
      <c r="BE2" s="50"/>
      <c r="BF2" s="50"/>
      <c r="BG2" s="50"/>
    </row>
    <row r="3" spans="1:61" x14ac:dyDescent="0.25">
      <c r="B3" s="8"/>
      <c r="C3" s="8"/>
      <c r="D3" s="8"/>
      <c r="F3" s="10"/>
      <c r="G3" s="70" t="s">
        <v>99</v>
      </c>
      <c r="H3" s="70"/>
      <c r="I3" s="70"/>
      <c r="J3" s="70"/>
      <c r="K3" s="70"/>
      <c r="L3" s="70"/>
      <c r="M3" s="70"/>
      <c r="N3" s="70"/>
      <c r="O3" s="70"/>
      <c r="P3" s="27"/>
      <c r="Q3" s="27"/>
      <c r="R3" s="27"/>
      <c r="S3" s="27"/>
      <c r="T3" s="27"/>
      <c r="U3" s="27"/>
      <c r="V3" s="27"/>
      <c r="W3" s="33"/>
      <c r="X3" s="33"/>
      <c r="Y3" s="10"/>
      <c r="Z3" s="10"/>
      <c r="AA3" s="11"/>
      <c r="AB3" s="10"/>
      <c r="AC3" s="10"/>
      <c r="AD3" s="10"/>
      <c r="AE3" s="10"/>
      <c r="AF3" s="10"/>
      <c r="AG3" s="10"/>
      <c r="AS3" s="3"/>
      <c r="AT3" s="3"/>
      <c r="AU3" s="3"/>
      <c r="BD3" s="50"/>
      <c r="BE3" s="50"/>
      <c r="BF3" s="50"/>
      <c r="BG3" s="50"/>
    </row>
    <row r="4" spans="1:61" x14ac:dyDescent="0.25"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</row>
    <row r="5" spans="1:61" x14ac:dyDescent="0.25">
      <c r="A5" s="64" t="s">
        <v>0</v>
      </c>
      <c r="B5" s="62" t="s">
        <v>1</v>
      </c>
      <c r="C5" s="62" t="s">
        <v>2</v>
      </c>
      <c r="D5" s="62" t="s">
        <v>3</v>
      </c>
      <c r="E5" s="62" t="s">
        <v>4</v>
      </c>
      <c r="F5" s="62" t="s">
        <v>5</v>
      </c>
      <c r="G5" s="62" t="s">
        <v>6</v>
      </c>
      <c r="H5" s="62" t="s">
        <v>7</v>
      </c>
      <c r="I5" s="62" t="s">
        <v>8</v>
      </c>
      <c r="J5" s="62" t="s">
        <v>9</v>
      </c>
      <c r="K5" s="62" t="s">
        <v>10</v>
      </c>
      <c r="L5" s="62" t="s">
        <v>11</v>
      </c>
      <c r="M5" s="71" t="s">
        <v>12</v>
      </c>
      <c r="N5" s="62" t="s">
        <v>13</v>
      </c>
      <c r="O5" s="62" t="s">
        <v>14</v>
      </c>
      <c r="P5" s="62" t="s">
        <v>15</v>
      </c>
      <c r="Q5" s="62" t="s">
        <v>16</v>
      </c>
      <c r="R5" s="62" t="s">
        <v>17</v>
      </c>
      <c r="S5" s="62" t="s">
        <v>18</v>
      </c>
      <c r="T5" s="62" t="s">
        <v>19</v>
      </c>
      <c r="U5" s="62" t="s">
        <v>20</v>
      </c>
      <c r="V5" s="62" t="s">
        <v>21</v>
      </c>
      <c r="W5" s="12"/>
      <c r="X5" s="12"/>
      <c r="Y5" s="67" t="s">
        <v>42</v>
      </c>
      <c r="Z5" s="54"/>
      <c r="AP5" s="7"/>
      <c r="AQ5" s="7"/>
      <c r="AR5" s="7"/>
    </row>
    <row r="6" spans="1:61" ht="36.75" customHeight="1" x14ac:dyDescent="0.25">
      <c r="A6" s="64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72"/>
      <c r="N6" s="63"/>
      <c r="O6" s="63"/>
      <c r="P6" s="63"/>
      <c r="Q6" s="63"/>
      <c r="R6" s="63"/>
      <c r="S6" s="63"/>
      <c r="T6" s="63"/>
      <c r="U6" s="63"/>
      <c r="V6" s="63"/>
      <c r="W6" s="12"/>
      <c r="X6" s="12"/>
      <c r="Y6" s="68"/>
      <c r="Z6" s="54"/>
      <c r="AP6" s="7"/>
      <c r="AQ6" s="7"/>
      <c r="AR6" s="7"/>
    </row>
    <row r="7" spans="1:61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13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  <c r="U7" s="55">
        <v>21</v>
      </c>
      <c r="V7" s="55">
        <v>22</v>
      </c>
      <c r="W7" s="12"/>
      <c r="X7" s="12"/>
      <c r="Y7" s="35">
        <v>23</v>
      </c>
      <c r="Z7" s="54"/>
      <c r="AP7" s="7"/>
      <c r="AQ7" s="7"/>
      <c r="AR7" s="7"/>
    </row>
    <row r="8" spans="1:61" s="21" customFormat="1" ht="38.25" outlineLevel="1" x14ac:dyDescent="0.25">
      <c r="A8" s="15" t="s">
        <v>71</v>
      </c>
      <c r="B8" s="14" t="s">
        <v>62</v>
      </c>
      <c r="C8" s="20" t="s">
        <v>63</v>
      </c>
      <c r="D8" s="20" t="s">
        <v>63</v>
      </c>
      <c r="E8" s="15" t="s">
        <v>64</v>
      </c>
      <c r="F8" s="20" t="s">
        <v>22</v>
      </c>
      <c r="G8" s="15" t="s">
        <v>23</v>
      </c>
      <c r="H8" s="23">
        <v>100</v>
      </c>
      <c r="I8" s="15" t="s">
        <v>24</v>
      </c>
      <c r="J8" s="15" t="s">
        <v>25</v>
      </c>
      <c r="K8" s="15" t="s">
        <v>25</v>
      </c>
      <c r="L8" s="24"/>
      <c r="M8" s="16" t="s">
        <v>27</v>
      </c>
      <c r="N8" s="14" t="s">
        <v>65</v>
      </c>
      <c r="O8" s="15" t="s">
        <v>29</v>
      </c>
      <c r="P8" s="15">
        <v>1</v>
      </c>
      <c r="Q8" s="17">
        <f>225000-(225000*12/112)</f>
        <v>200892.85714285713</v>
      </c>
      <c r="R8" s="17">
        <f t="shared" ref="R8" si="0">P8*Q8</f>
        <v>200892.85714285713</v>
      </c>
      <c r="S8" s="17">
        <f t="shared" ref="S8" si="1">Q8+W8</f>
        <v>225000</v>
      </c>
      <c r="T8" s="17">
        <f t="shared" ref="T8" si="2">P8*S8</f>
        <v>225000</v>
      </c>
      <c r="U8" s="15" t="s">
        <v>66</v>
      </c>
      <c r="V8" s="15" t="s">
        <v>26</v>
      </c>
      <c r="W8" s="18">
        <f t="shared" ref="W8" si="3">Q8*12/100</f>
        <v>24107.142857142855</v>
      </c>
      <c r="X8" s="19">
        <f t="shared" ref="X8" si="4">Q8+W8</f>
        <v>225000</v>
      </c>
      <c r="Y8" s="36" t="s">
        <v>55</v>
      </c>
      <c r="Z8" s="4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H8" s="61"/>
    </row>
    <row r="9" spans="1:61" ht="57.75" customHeight="1" outlineLevel="1" x14ac:dyDescent="0.25">
      <c r="A9" s="55" t="s">
        <v>58</v>
      </c>
      <c r="B9" s="14" t="s">
        <v>51</v>
      </c>
      <c r="C9" s="20" t="s">
        <v>52</v>
      </c>
      <c r="D9" s="20" t="s">
        <v>53</v>
      </c>
      <c r="E9" s="15" t="s">
        <v>54</v>
      </c>
      <c r="F9" s="20" t="s">
        <v>22</v>
      </c>
      <c r="G9" s="15" t="s">
        <v>23</v>
      </c>
      <c r="H9" s="23">
        <v>100</v>
      </c>
      <c r="I9" s="15" t="s">
        <v>24</v>
      </c>
      <c r="J9" s="15" t="s">
        <v>25</v>
      </c>
      <c r="K9" s="15" t="s">
        <v>25</v>
      </c>
      <c r="L9" s="24"/>
      <c r="M9" s="16" t="s">
        <v>27</v>
      </c>
      <c r="N9" s="14" t="s">
        <v>28</v>
      </c>
      <c r="O9" s="15" t="s">
        <v>29</v>
      </c>
      <c r="P9" s="15">
        <v>1</v>
      </c>
      <c r="Q9" s="17">
        <f>420000-(420000*12/112)</f>
        <v>375000</v>
      </c>
      <c r="R9" s="17">
        <f t="shared" ref="R9:R10" si="5">P9*Q9</f>
        <v>375000</v>
      </c>
      <c r="S9" s="17">
        <f t="shared" ref="S9:S10" si="6">Q9+W9</f>
        <v>420000</v>
      </c>
      <c r="T9" s="17">
        <f t="shared" ref="T9:T10" si="7">P9*S9</f>
        <v>420000</v>
      </c>
      <c r="U9" s="15"/>
      <c r="V9" s="15" t="s">
        <v>26</v>
      </c>
      <c r="W9" s="18">
        <f t="shared" ref="W9:W10" si="8">Q9*12/100</f>
        <v>45000</v>
      </c>
      <c r="X9" s="19">
        <f t="shared" ref="X9:X10" si="9">Q9+W9</f>
        <v>420000</v>
      </c>
      <c r="Y9" s="36" t="s">
        <v>55</v>
      </c>
      <c r="Z9" s="54"/>
      <c r="AP9" s="7"/>
      <c r="AQ9" s="7"/>
      <c r="AR9" s="7"/>
    </row>
    <row r="10" spans="1:61" s="21" customFormat="1" ht="127.5" outlineLevel="1" x14ac:dyDescent="0.25">
      <c r="A10" s="15" t="s">
        <v>72</v>
      </c>
      <c r="B10" s="14" t="s">
        <v>67</v>
      </c>
      <c r="C10" s="20" t="s">
        <v>68</v>
      </c>
      <c r="D10" s="20" t="s">
        <v>69</v>
      </c>
      <c r="E10" s="14" t="s">
        <v>70</v>
      </c>
      <c r="F10" s="20" t="s">
        <v>22</v>
      </c>
      <c r="G10" s="15" t="s">
        <v>23</v>
      </c>
      <c r="H10" s="23">
        <v>100</v>
      </c>
      <c r="I10" s="15" t="s">
        <v>24</v>
      </c>
      <c r="J10" s="15" t="s">
        <v>25</v>
      </c>
      <c r="K10" s="15" t="s">
        <v>25</v>
      </c>
      <c r="L10" s="24"/>
      <c r="M10" s="16" t="s">
        <v>27</v>
      </c>
      <c r="N10" s="14" t="s">
        <v>28</v>
      </c>
      <c r="O10" s="15" t="s">
        <v>29</v>
      </c>
      <c r="P10" s="15">
        <v>1</v>
      </c>
      <c r="Q10" s="17">
        <f>361000-(361000*12/112)</f>
        <v>322321.42857142858</v>
      </c>
      <c r="R10" s="17">
        <f t="shared" si="5"/>
        <v>322321.42857142858</v>
      </c>
      <c r="S10" s="17">
        <f t="shared" si="6"/>
        <v>361000</v>
      </c>
      <c r="T10" s="17">
        <f t="shared" si="7"/>
        <v>361000</v>
      </c>
      <c r="U10" s="15"/>
      <c r="V10" s="15" t="s">
        <v>26</v>
      </c>
      <c r="W10" s="18">
        <f t="shared" si="8"/>
        <v>38678.571428571428</v>
      </c>
      <c r="X10" s="19">
        <f t="shared" si="9"/>
        <v>361000</v>
      </c>
      <c r="Y10" s="52" t="s">
        <v>55</v>
      </c>
      <c r="Z10" s="4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BH10" s="61"/>
    </row>
    <row r="11" spans="1:61" ht="132" customHeight="1" outlineLevel="1" x14ac:dyDescent="0.25">
      <c r="A11" s="55" t="s">
        <v>56</v>
      </c>
      <c r="B11" s="14" t="s">
        <v>31</v>
      </c>
      <c r="C11" s="14" t="s">
        <v>32</v>
      </c>
      <c r="D11" s="14" t="s">
        <v>33</v>
      </c>
      <c r="E11" s="20" t="s">
        <v>34</v>
      </c>
      <c r="F11" s="20" t="s">
        <v>22</v>
      </c>
      <c r="G11" s="15" t="s">
        <v>43</v>
      </c>
      <c r="H11" s="23">
        <v>100</v>
      </c>
      <c r="I11" s="15" t="s">
        <v>30</v>
      </c>
      <c r="J11" s="15" t="s">
        <v>25</v>
      </c>
      <c r="K11" s="15" t="s">
        <v>25</v>
      </c>
      <c r="L11" s="24"/>
      <c r="M11" s="16" t="s">
        <v>35</v>
      </c>
      <c r="N11" s="14" t="s">
        <v>44</v>
      </c>
      <c r="O11" s="15" t="s">
        <v>29</v>
      </c>
      <c r="P11" s="15">
        <v>1</v>
      </c>
      <c r="Q11" s="17">
        <f>868000-(868000*12/112)</f>
        <v>775000</v>
      </c>
      <c r="R11" s="17">
        <f t="shared" ref="R11:R13" si="10">P11*Q11</f>
        <v>775000</v>
      </c>
      <c r="S11" s="17">
        <f>Q11+W11</f>
        <v>868000</v>
      </c>
      <c r="T11" s="17">
        <f t="shared" ref="T11:T12" si="11">P11*S11</f>
        <v>868000</v>
      </c>
      <c r="U11" s="15"/>
      <c r="V11" s="15" t="s">
        <v>26</v>
      </c>
      <c r="W11" s="18">
        <f t="shared" ref="W11:W20" si="12">Q11*12/100</f>
        <v>93000</v>
      </c>
      <c r="X11" s="19">
        <f t="shared" ref="X11:X20" si="13">Q11+W11</f>
        <v>868000</v>
      </c>
      <c r="Y11" s="36" t="s">
        <v>48</v>
      </c>
      <c r="Z11" s="54"/>
      <c r="AP11" s="7"/>
      <c r="AQ11" s="7"/>
      <c r="AR11" s="7"/>
    </row>
    <row r="12" spans="1:61" s="21" customFormat="1" ht="120" customHeight="1" outlineLevel="1" x14ac:dyDescent="0.25">
      <c r="A12" s="15" t="s">
        <v>73</v>
      </c>
      <c r="B12" s="14" t="s">
        <v>75</v>
      </c>
      <c r="C12" s="53" t="s">
        <v>74</v>
      </c>
      <c r="D12" s="53" t="s">
        <v>74</v>
      </c>
      <c r="E12" s="20" t="s">
        <v>76</v>
      </c>
      <c r="F12" s="20" t="s">
        <v>22</v>
      </c>
      <c r="G12" s="15" t="s">
        <v>23</v>
      </c>
      <c r="H12" s="23">
        <v>100</v>
      </c>
      <c r="I12" s="15" t="s">
        <v>24</v>
      </c>
      <c r="J12" s="15" t="s">
        <v>25</v>
      </c>
      <c r="K12" s="15" t="s">
        <v>25</v>
      </c>
      <c r="L12" s="24"/>
      <c r="M12" s="16" t="s">
        <v>35</v>
      </c>
      <c r="N12" s="14" t="s">
        <v>65</v>
      </c>
      <c r="O12" s="15" t="s">
        <v>29</v>
      </c>
      <c r="P12" s="15">
        <v>1</v>
      </c>
      <c r="Q12" s="17">
        <f>121000-(121000*12/112)</f>
        <v>108035.71428571429</v>
      </c>
      <c r="R12" s="17">
        <f t="shared" si="10"/>
        <v>108035.71428571429</v>
      </c>
      <c r="S12" s="17">
        <f t="shared" ref="S12" si="14">Q12+W12</f>
        <v>121000</v>
      </c>
      <c r="T12" s="17">
        <f t="shared" si="11"/>
        <v>121000</v>
      </c>
      <c r="U12" s="15"/>
      <c r="V12" s="15" t="s">
        <v>26</v>
      </c>
      <c r="W12" s="18">
        <f t="shared" si="12"/>
        <v>12964.285714285714</v>
      </c>
      <c r="X12" s="19">
        <f t="shared" si="13"/>
        <v>121000</v>
      </c>
      <c r="Y12" s="52" t="s">
        <v>55</v>
      </c>
      <c r="Z12" s="4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BH12" s="61"/>
    </row>
    <row r="13" spans="1:61" s="21" customFormat="1" ht="130.5" customHeight="1" outlineLevel="1" x14ac:dyDescent="0.25">
      <c r="A13" s="15" t="s">
        <v>60</v>
      </c>
      <c r="B13" s="22" t="s">
        <v>31</v>
      </c>
      <c r="C13" s="14" t="s">
        <v>32</v>
      </c>
      <c r="D13" s="14" t="s">
        <v>33</v>
      </c>
      <c r="E13" s="20" t="s">
        <v>59</v>
      </c>
      <c r="F13" s="20" t="s">
        <v>22</v>
      </c>
      <c r="G13" s="15" t="s">
        <v>43</v>
      </c>
      <c r="H13" s="23">
        <v>100</v>
      </c>
      <c r="I13" s="15" t="s">
        <v>30</v>
      </c>
      <c r="J13" s="15" t="s">
        <v>25</v>
      </c>
      <c r="K13" s="15" t="s">
        <v>25</v>
      </c>
      <c r="L13" s="24"/>
      <c r="M13" s="16" t="s">
        <v>35</v>
      </c>
      <c r="N13" s="14" t="s">
        <v>44</v>
      </c>
      <c r="O13" s="15" t="s">
        <v>29</v>
      </c>
      <c r="P13" s="15">
        <v>1</v>
      </c>
      <c r="Q13" s="17">
        <f>180000-(180000*12/112)</f>
        <v>160714.28571428571</v>
      </c>
      <c r="R13" s="17">
        <f t="shared" si="10"/>
        <v>160714.28571428571</v>
      </c>
      <c r="S13" s="17">
        <f t="shared" ref="S13" si="15">Q13+W13</f>
        <v>180000</v>
      </c>
      <c r="T13" s="17">
        <f t="shared" ref="T13" si="16">R13+(R13*12%)</f>
        <v>180000</v>
      </c>
      <c r="U13" s="15"/>
      <c r="V13" s="15" t="s">
        <v>26</v>
      </c>
      <c r="W13" s="43">
        <f t="shared" si="12"/>
        <v>19285.714285714286</v>
      </c>
      <c r="X13" s="44">
        <f t="shared" si="13"/>
        <v>180000</v>
      </c>
      <c r="Y13" s="51" t="s">
        <v>61</v>
      </c>
      <c r="Z13" s="45">
        <v>1</v>
      </c>
      <c r="AA13" s="46"/>
      <c r="AB13" s="46">
        <f t="shared" ref="AB13" si="17">T13</f>
        <v>180000</v>
      </c>
      <c r="AC13" s="47"/>
      <c r="AD13" s="47"/>
      <c r="AE13" s="45"/>
      <c r="AF13" s="45"/>
      <c r="AG13" s="45"/>
      <c r="AH13" s="45"/>
      <c r="AI13" s="45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BH13" s="61"/>
    </row>
    <row r="14" spans="1:61" ht="110.25" customHeight="1" outlineLevel="1" x14ac:dyDescent="0.25">
      <c r="A14" s="55" t="s">
        <v>57</v>
      </c>
      <c r="B14" s="22" t="s">
        <v>36</v>
      </c>
      <c r="C14" s="20" t="s">
        <v>37</v>
      </c>
      <c r="D14" s="20" t="s">
        <v>38</v>
      </c>
      <c r="E14" s="14" t="s">
        <v>39</v>
      </c>
      <c r="F14" s="20" t="s">
        <v>22</v>
      </c>
      <c r="G14" s="15" t="s">
        <v>23</v>
      </c>
      <c r="H14" s="23">
        <v>100</v>
      </c>
      <c r="I14" s="15" t="s">
        <v>30</v>
      </c>
      <c r="J14" s="15" t="s">
        <v>25</v>
      </c>
      <c r="K14" s="15" t="s">
        <v>25</v>
      </c>
      <c r="L14" s="24"/>
      <c r="M14" s="16" t="s">
        <v>27</v>
      </c>
      <c r="N14" s="14" t="s">
        <v>28</v>
      </c>
      <c r="O14" s="15" t="s">
        <v>29</v>
      </c>
      <c r="P14" s="15">
        <v>1</v>
      </c>
      <c r="Q14" s="17">
        <f>600000-(600000*12/112)</f>
        <v>535714.28571428568</v>
      </c>
      <c r="R14" s="17">
        <f>P14*Q14</f>
        <v>535714.28571428568</v>
      </c>
      <c r="S14" s="17">
        <f>Q14+W14</f>
        <v>600000</v>
      </c>
      <c r="T14" s="17">
        <f>P14*S14</f>
        <v>600000</v>
      </c>
      <c r="U14" s="15"/>
      <c r="V14" s="15" t="s">
        <v>26</v>
      </c>
      <c r="W14" s="18">
        <f t="shared" si="12"/>
        <v>64285.714285714283</v>
      </c>
      <c r="X14" s="19">
        <f t="shared" si="13"/>
        <v>600000</v>
      </c>
      <c r="Y14" s="36" t="s">
        <v>100</v>
      </c>
      <c r="Z14" s="54"/>
      <c r="AP14" s="7"/>
      <c r="AQ14" s="7"/>
      <c r="AR14" s="7"/>
    </row>
    <row r="15" spans="1:61" ht="38.25" outlineLevel="1" x14ac:dyDescent="0.25">
      <c r="A15" s="55" t="s">
        <v>96</v>
      </c>
      <c r="B15" s="20" t="s">
        <v>92</v>
      </c>
      <c r="C15" s="20" t="s">
        <v>93</v>
      </c>
      <c r="D15" s="20" t="s">
        <v>93</v>
      </c>
      <c r="E15" s="14" t="s">
        <v>94</v>
      </c>
      <c r="F15" s="20" t="s">
        <v>22</v>
      </c>
      <c r="G15" s="15" t="s">
        <v>23</v>
      </c>
      <c r="H15" s="23">
        <v>100</v>
      </c>
      <c r="I15" s="15" t="s">
        <v>24</v>
      </c>
      <c r="J15" s="15" t="s">
        <v>25</v>
      </c>
      <c r="K15" s="15" t="s">
        <v>25</v>
      </c>
      <c r="L15" s="24"/>
      <c r="M15" s="16" t="s">
        <v>35</v>
      </c>
      <c r="N15" s="14" t="s">
        <v>95</v>
      </c>
      <c r="O15" s="15" t="s">
        <v>29</v>
      </c>
      <c r="P15" s="15">
        <v>1</v>
      </c>
      <c r="Q15" s="17">
        <f>70000-(70000*12/112)</f>
        <v>62500</v>
      </c>
      <c r="R15" s="17">
        <f t="shared" ref="R15" si="18">P15*Q15</f>
        <v>62500</v>
      </c>
      <c r="S15" s="17">
        <f t="shared" ref="S15" si="19">Q15+W15</f>
        <v>70000</v>
      </c>
      <c r="T15" s="17">
        <f t="shared" ref="T15" si="20">P15*S15</f>
        <v>70000</v>
      </c>
      <c r="U15" s="15"/>
      <c r="V15" s="15" t="s">
        <v>26</v>
      </c>
      <c r="W15" s="18">
        <f t="shared" si="12"/>
        <v>7500</v>
      </c>
      <c r="X15" s="19">
        <f t="shared" si="13"/>
        <v>70000</v>
      </c>
      <c r="Y15" s="36" t="s">
        <v>98</v>
      </c>
      <c r="Z15" s="54"/>
      <c r="AP15" s="7"/>
      <c r="AQ15" s="7"/>
      <c r="AR15" s="7"/>
    </row>
    <row r="16" spans="1:61" ht="76.5" x14ac:dyDescent="0.25">
      <c r="A16" s="15" t="s">
        <v>87</v>
      </c>
      <c r="B16" s="20" t="s">
        <v>78</v>
      </c>
      <c r="C16" s="20" t="s">
        <v>79</v>
      </c>
      <c r="D16" s="20" t="s">
        <v>79</v>
      </c>
      <c r="E16" s="56" t="s">
        <v>80</v>
      </c>
      <c r="F16" s="20" t="s">
        <v>81</v>
      </c>
      <c r="G16" s="15"/>
      <c r="H16" s="23">
        <v>80</v>
      </c>
      <c r="I16" s="15" t="s">
        <v>24</v>
      </c>
      <c r="J16" s="15" t="s">
        <v>25</v>
      </c>
      <c r="K16" s="15" t="s">
        <v>25</v>
      </c>
      <c r="L16" s="24"/>
      <c r="M16" s="16" t="s">
        <v>82</v>
      </c>
      <c r="N16" s="14" t="s">
        <v>90</v>
      </c>
      <c r="O16" s="15" t="s">
        <v>29</v>
      </c>
      <c r="P16" s="15">
        <v>1</v>
      </c>
      <c r="Q16" s="17">
        <v>135697321.43000001</v>
      </c>
      <c r="R16" s="17">
        <v>135697321.43000001</v>
      </c>
      <c r="S16" s="17">
        <f t="shared" ref="S16:S18" si="21">Q16*1.12</f>
        <v>151981000.00160003</v>
      </c>
      <c r="T16" s="17">
        <f t="shared" ref="T16:T18" si="22">S16*P16</f>
        <v>151981000.00160003</v>
      </c>
      <c r="U16" s="15"/>
      <c r="V16" s="15" t="s">
        <v>26</v>
      </c>
      <c r="W16" s="55"/>
      <c r="X16" s="19">
        <f>Q18+W16</f>
        <v>46786607.140000001</v>
      </c>
      <c r="Y16" s="36" t="s">
        <v>91</v>
      </c>
      <c r="Z16" s="54"/>
      <c r="AA16" s="57"/>
      <c r="AB16" s="57"/>
      <c r="AC16" s="57" t="e">
        <f>SUM(#REF!)</f>
        <v>#REF!</v>
      </c>
      <c r="AD16" s="57"/>
      <c r="AE16" s="54"/>
      <c r="AF16" s="57"/>
      <c r="AG16" s="54"/>
      <c r="AH16" s="54"/>
      <c r="AI16" s="54"/>
      <c r="AS16" s="3"/>
      <c r="AT16" s="3"/>
      <c r="AU16" s="3"/>
      <c r="AV16" s="3"/>
      <c r="AW16" s="3"/>
      <c r="AX16" s="3"/>
      <c r="BE16" s="60"/>
      <c r="BG16" s="60"/>
    </row>
    <row r="17" spans="1:59" ht="89.25" customHeight="1" x14ac:dyDescent="0.25">
      <c r="A17" s="20" t="s">
        <v>88</v>
      </c>
      <c r="B17" s="20" t="s">
        <v>83</v>
      </c>
      <c r="C17" s="58" t="s">
        <v>84</v>
      </c>
      <c r="D17" s="58" t="s">
        <v>84</v>
      </c>
      <c r="E17" s="20" t="s">
        <v>85</v>
      </c>
      <c r="F17" s="20" t="s">
        <v>81</v>
      </c>
      <c r="G17" s="23"/>
      <c r="H17" s="15">
        <v>80</v>
      </c>
      <c r="I17" s="15" t="s">
        <v>24</v>
      </c>
      <c r="J17" s="15" t="s">
        <v>25</v>
      </c>
      <c r="K17" s="15" t="s">
        <v>25</v>
      </c>
      <c r="L17" s="16"/>
      <c r="M17" s="16" t="s">
        <v>82</v>
      </c>
      <c r="N17" s="14" t="s">
        <v>90</v>
      </c>
      <c r="O17" s="15" t="s">
        <v>29</v>
      </c>
      <c r="P17" s="15">
        <v>1</v>
      </c>
      <c r="Q17" s="17">
        <v>58258035.710000001</v>
      </c>
      <c r="R17" s="17">
        <v>58258035.710000001</v>
      </c>
      <c r="S17" s="17">
        <f t="shared" si="21"/>
        <v>65248999.995200008</v>
      </c>
      <c r="T17" s="17">
        <f t="shared" si="22"/>
        <v>65248999.995200008</v>
      </c>
      <c r="U17" s="15"/>
      <c r="V17" s="15" t="s">
        <v>26</v>
      </c>
      <c r="W17" s="18">
        <f>Q19*12/100</f>
        <v>86400</v>
      </c>
      <c r="X17" s="19">
        <f>Q19+W17</f>
        <v>806400</v>
      </c>
      <c r="Y17" s="36" t="s">
        <v>91</v>
      </c>
      <c r="Z17" s="54"/>
      <c r="AA17" s="57"/>
      <c r="AB17" s="54"/>
      <c r="AC17" s="54"/>
      <c r="AD17" s="54"/>
      <c r="AE17" s="54"/>
      <c r="AF17" s="54"/>
      <c r="AG17" s="54"/>
      <c r="AH17" s="54"/>
      <c r="AI17" s="54"/>
      <c r="AS17" s="3"/>
      <c r="AT17" s="3"/>
      <c r="AU17" s="3"/>
      <c r="AV17" s="3"/>
      <c r="AW17" s="3"/>
      <c r="AX17" s="3"/>
      <c r="BE17" s="60"/>
      <c r="BF17" s="60"/>
      <c r="BG17" s="60"/>
    </row>
    <row r="18" spans="1:59" ht="76.5" customHeight="1" x14ac:dyDescent="0.25">
      <c r="A18" s="15" t="s">
        <v>89</v>
      </c>
      <c r="B18" s="20" t="s">
        <v>78</v>
      </c>
      <c r="C18" s="20" t="s">
        <v>79</v>
      </c>
      <c r="D18" s="20" t="s">
        <v>79</v>
      </c>
      <c r="E18" s="56" t="s">
        <v>86</v>
      </c>
      <c r="F18" s="20" t="s">
        <v>22</v>
      </c>
      <c r="G18" s="15" t="s">
        <v>101</v>
      </c>
      <c r="H18" s="23">
        <v>80</v>
      </c>
      <c r="I18" s="15" t="s">
        <v>24</v>
      </c>
      <c r="J18" s="15" t="s">
        <v>25</v>
      </c>
      <c r="K18" s="15" t="s">
        <v>25</v>
      </c>
      <c r="L18" s="24"/>
      <c r="M18" s="16" t="s">
        <v>82</v>
      </c>
      <c r="N18" s="14" t="s">
        <v>90</v>
      </c>
      <c r="O18" s="15" t="s">
        <v>29</v>
      </c>
      <c r="P18" s="15">
        <v>1</v>
      </c>
      <c r="Q18" s="17">
        <v>46786607.140000001</v>
      </c>
      <c r="R18" s="17">
        <f t="shared" ref="R18" si="23">P18*Q18</f>
        <v>46786607.140000001</v>
      </c>
      <c r="S18" s="17">
        <f t="shared" si="21"/>
        <v>52400999.996800005</v>
      </c>
      <c r="T18" s="17">
        <f t="shared" si="22"/>
        <v>52400999.996800005</v>
      </c>
      <c r="U18" s="15"/>
      <c r="V18" s="15" t="s">
        <v>26</v>
      </c>
      <c r="W18" s="55"/>
      <c r="X18" s="19">
        <f>Q20+W18</f>
        <v>244002142.85142857</v>
      </c>
      <c r="Y18" s="36" t="s">
        <v>97</v>
      </c>
      <c r="Z18" s="54"/>
      <c r="AA18" s="57"/>
      <c r="AB18" s="57"/>
      <c r="AC18" s="57" t="e">
        <f>SUM(#REF!)</f>
        <v>#REF!</v>
      </c>
      <c r="AD18" s="57"/>
      <c r="AE18" s="54"/>
      <c r="AF18" s="57"/>
      <c r="AG18" s="54"/>
      <c r="AH18" s="54"/>
      <c r="AI18" s="54"/>
      <c r="AS18" s="3"/>
      <c r="AT18" s="3"/>
      <c r="AU18" s="3"/>
      <c r="AV18" s="3"/>
      <c r="AW18" s="3"/>
      <c r="AX18" s="3"/>
      <c r="BE18" s="60"/>
      <c r="BF18" s="60"/>
      <c r="BG18" s="60"/>
    </row>
    <row r="19" spans="1:59" ht="119.25" customHeight="1" outlineLevel="1" x14ac:dyDescent="0.25">
      <c r="A19" s="55" t="s">
        <v>41</v>
      </c>
      <c r="B19" s="22" t="s">
        <v>45</v>
      </c>
      <c r="C19" s="37" t="s">
        <v>46</v>
      </c>
      <c r="D19" s="37" t="s">
        <v>47</v>
      </c>
      <c r="E19" s="37" t="s">
        <v>50</v>
      </c>
      <c r="F19" s="20" t="s">
        <v>22</v>
      </c>
      <c r="G19" s="15" t="s">
        <v>23</v>
      </c>
      <c r="H19" s="23">
        <v>100</v>
      </c>
      <c r="I19" s="15" t="s">
        <v>24</v>
      </c>
      <c r="J19" s="15" t="s">
        <v>25</v>
      </c>
      <c r="K19" s="15" t="s">
        <v>25</v>
      </c>
      <c r="L19" s="24"/>
      <c r="M19" s="16" t="s">
        <v>27</v>
      </c>
      <c r="N19" s="14" t="s">
        <v>28</v>
      </c>
      <c r="O19" s="15" t="s">
        <v>29</v>
      </c>
      <c r="P19" s="15">
        <v>1</v>
      </c>
      <c r="Q19" s="17">
        <v>720000</v>
      </c>
      <c r="R19" s="17">
        <f>P19*Q19</f>
        <v>720000</v>
      </c>
      <c r="S19" s="17" t="s">
        <v>102</v>
      </c>
      <c r="T19" s="17" t="s">
        <v>103</v>
      </c>
      <c r="U19" s="15"/>
      <c r="V19" s="15" t="s">
        <v>26</v>
      </c>
      <c r="W19" s="18"/>
      <c r="X19" s="19"/>
      <c r="Y19" s="36" t="s">
        <v>49</v>
      </c>
      <c r="Z19" s="40"/>
      <c r="AA19" s="41">
        <f>1193000-Q19</f>
        <v>473000</v>
      </c>
      <c r="AB19" s="42"/>
      <c r="AP19" s="7"/>
      <c r="AQ19" s="7"/>
      <c r="AR19" s="7"/>
      <c r="BD19" s="60"/>
    </row>
    <row r="20" spans="1:59" x14ac:dyDescent="0.25">
      <c r="A20" s="65" t="s">
        <v>40</v>
      </c>
      <c r="B20" s="66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13"/>
      <c r="N20" s="25"/>
      <c r="O20" s="55"/>
      <c r="P20" s="55"/>
      <c r="Q20" s="59">
        <f>SUM(Q8:Q19)</f>
        <v>244002142.85142857</v>
      </c>
      <c r="R20" s="59">
        <f>SUM(R8:R19)</f>
        <v>244002142.85142857</v>
      </c>
      <c r="S20" s="59">
        <f>SUM(S8:S18)</f>
        <v>272475999.99360001</v>
      </c>
      <c r="T20" s="59">
        <f>SUM(T8:T18)</f>
        <v>272475999.99360001</v>
      </c>
      <c r="U20" s="55"/>
      <c r="V20" s="55"/>
      <c r="W20" s="18">
        <f t="shared" si="12"/>
        <v>29280257.142171431</v>
      </c>
      <c r="X20" s="19">
        <f t="shared" si="13"/>
        <v>273282399.99360001</v>
      </c>
      <c r="Y20" s="34"/>
      <c r="Z20" s="40"/>
      <c r="AA20" s="42"/>
      <c r="AB20" s="42"/>
      <c r="AP20" s="7"/>
      <c r="AQ20" s="7"/>
      <c r="AR20" s="7"/>
    </row>
    <row r="21" spans="1:59" x14ac:dyDescent="0.25">
      <c r="R21" s="26"/>
      <c r="Z21" s="42"/>
      <c r="AA21" s="42"/>
      <c r="AB21" s="42"/>
    </row>
    <row r="22" spans="1:59" x14ac:dyDescent="0.25">
      <c r="R22" s="26"/>
    </row>
  </sheetData>
  <autoFilter ref="A7:AR20"/>
  <mergeCells count="27">
    <mergeCell ref="A20:B20"/>
    <mergeCell ref="Y5:Y6"/>
    <mergeCell ref="S1:V1"/>
    <mergeCell ref="G3:O3"/>
    <mergeCell ref="M5:M6"/>
    <mergeCell ref="E4:AC4"/>
    <mergeCell ref="F5:F6"/>
    <mergeCell ref="G5:G6"/>
    <mergeCell ref="H5:H6"/>
    <mergeCell ref="I5:I6"/>
    <mergeCell ref="J5:J6"/>
    <mergeCell ref="K5:K6"/>
    <mergeCell ref="L5:L6"/>
    <mergeCell ref="T5:T6"/>
    <mergeCell ref="U5:U6"/>
    <mergeCell ref="V5:V6"/>
    <mergeCell ref="S5:S6"/>
    <mergeCell ref="A5:A6"/>
    <mergeCell ref="B5:B6"/>
    <mergeCell ref="C5:C6"/>
    <mergeCell ref="D5:D6"/>
    <mergeCell ref="E5:E6"/>
    <mergeCell ref="N5:N6"/>
    <mergeCell ref="O5:O6"/>
    <mergeCell ref="P5:P6"/>
    <mergeCell ref="Q5:Q6"/>
    <mergeCell ref="R5:R6"/>
  </mergeCells>
  <hyperlinks>
    <hyperlink ref="B14" r:id="rId1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B13" r:id="rId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B9" r:id="rId3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</hyperlinks>
  <pageMargins left="0.23622047244094491" right="0.23622047244094491" top="0.74803149606299213" bottom="0.74803149606299213" header="0.31496062992125984" footer="0.31496062992125984"/>
  <pageSetup paperSize="8" scale="4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скорректированный</vt:lpstr>
      <vt:lpstr>скорректированный!Область_печати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2021-08-09T09:49:23Z</cp:lastPrinted>
  <dcterms:created xsi:type="dcterms:W3CDTF">2021-07-08T15:47:24Z</dcterms:created>
  <dcterms:modified xsi:type="dcterms:W3CDTF">2021-08-10T03:34:02Z</dcterms:modified>
</cp:coreProperties>
</file>